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Ray\Documents\2099 STEM Teacher Association\"/>
    </mc:Choice>
  </mc:AlternateContent>
  <xr:revisionPtr revIDLastSave="0" documentId="8_{E0CE4706-7F32-4096-915B-0E8236AC51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arch Engine Result" sheetId="1" r:id="rId1"/>
    <sheet name="Search Result Stats" sheetId="2" r:id="rId2"/>
  </sheets>
  <calcPr calcId="181029"/>
  <fileRecoveryPr repairLoad="1"/>
</workbook>
</file>

<file path=xl/calcChain.xml><?xml version="1.0" encoding="utf-8"?>
<calcChain xmlns="http://schemas.openxmlformats.org/spreadsheetml/2006/main">
  <c r="D304" i="1" l="1"/>
  <c r="D314" i="1"/>
  <c r="D295" i="1"/>
  <c r="D305" i="1"/>
  <c r="D315" i="1"/>
  <c r="D326" i="1"/>
  <c r="D316" i="1"/>
  <c r="D328" i="1"/>
  <c r="D306" i="1"/>
  <c r="D301" i="1"/>
  <c r="D299" i="1"/>
  <c r="D327" i="1"/>
  <c r="D310" i="1"/>
  <c r="D325" i="1"/>
  <c r="D298" i="1"/>
  <c r="D296" i="1"/>
  <c r="D311" i="1"/>
  <c r="D318" i="1"/>
  <c r="D312" i="1"/>
  <c r="D302" i="1"/>
  <c r="D297" i="1"/>
  <c r="D307" i="1"/>
  <c r="D329" i="1"/>
  <c r="D292" i="1"/>
  <c r="D322" i="1"/>
  <c r="D321" i="1"/>
  <c r="D308" i="1"/>
  <c r="D309" i="1"/>
  <c r="D300" i="1"/>
  <c r="D323" i="1"/>
  <c r="D319" i="1"/>
  <c r="D294" i="1"/>
  <c r="D320" i="1"/>
  <c r="D324" i="1"/>
  <c r="D313" i="1"/>
  <c r="D303" i="1"/>
  <c r="D293" i="1"/>
  <c r="D317" i="1"/>
  <c r="D518" i="1"/>
  <c r="D526" i="1"/>
  <c r="D511" i="1"/>
  <c r="D530" i="1"/>
  <c r="D525" i="1"/>
  <c r="D531" i="1"/>
  <c r="D533" i="1"/>
  <c r="D527" i="1"/>
  <c r="D528" i="1"/>
  <c r="D512" i="1"/>
  <c r="D537" i="1"/>
  <c r="D536" i="1"/>
  <c r="D529" i="1"/>
  <c r="D516" i="1"/>
  <c r="D535" i="1"/>
  <c r="D524" i="1"/>
  <c r="D513" i="1"/>
  <c r="D514" i="1"/>
  <c r="D538" i="1"/>
  <c r="D517" i="1"/>
  <c r="D540" i="1"/>
  <c r="D532" i="1"/>
  <c r="D522" i="1"/>
  <c r="D519" i="1"/>
  <c r="D541" i="1"/>
  <c r="D510" i="1"/>
  <c r="D520" i="1"/>
  <c r="D534" i="1"/>
  <c r="D542" i="1"/>
  <c r="D521" i="1"/>
  <c r="D515" i="1"/>
  <c r="D539" i="1"/>
  <c r="D523" i="1"/>
  <c r="D479" i="1"/>
  <c r="D480" i="1"/>
  <c r="D505" i="1"/>
  <c r="D486" i="1"/>
  <c r="D504" i="1"/>
  <c r="D497" i="1"/>
  <c r="D490" i="1"/>
  <c r="D483" i="1"/>
  <c r="D494" i="1"/>
  <c r="D491" i="1"/>
  <c r="D506" i="1"/>
  <c r="D488" i="1"/>
  <c r="D485" i="1"/>
  <c r="D499" i="1"/>
  <c r="D501" i="1"/>
  <c r="D493" i="1"/>
  <c r="D495" i="1"/>
  <c r="D489" i="1"/>
  <c r="D496" i="1"/>
  <c r="D492" i="1"/>
  <c r="D503" i="1"/>
  <c r="D481" i="1"/>
  <c r="D498" i="1"/>
  <c r="D482" i="1"/>
  <c r="D507" i="1"/>
  <c r="D500" i="1"/>
  <c r="D508" i="1"/>
  <c r="D509" i="1"/>
  <c r="D484" i="1"/>
  <c r="D502" i="1"/>
  <c r="D487" i="1"/>
  <c r="D119" i="1"/>
  <c r="D122" i="1"/>
  <c r="D115" i="1"/>
  <c r="D18" i="1"/>
  <c r="D49" i="1"/>
  <c r="D3" i="1"/>
  <c r="D59" i="1"/>
  <c r="D22" i="1"/>
  <c r="D71" i="1"/>
  <c r="D114" i="1"/>
  <c r="D126" i="1"/>
  <c r="D117" i="1"/>
  <c r="D15" i="1"/>
  <c r="D4" i="1"/>
  <c r="D11" i="1"/>
  <c r="D24" i="1"/>
  <c r="D60" i="1"/>
  <c r="D25" i="1"/>
  <c r="D80" i="1"/>
  <c r="D33" i="1"/>
  <c r="D79" i="1"/>
  <c r="D72" i="1"/>
  <c r="D74" i="1"/>
  <c r="D118" i="1"/>
  <c r="D13" i="1"/>
  <c r="D23" i="1"/>
  <c r="D91" i="1"/>
  <c r="D63" i="1"/>
  <c r="D28" i="1"/>
  <c r="D77" i="1"/>
  <c r="D20" i="1"/>
  <c r="D68" i="1"/>
  <c r="D75" i="1"/>
  <c r="D116" i="1"/>
  <c r="D56" i="1"/>
  <c r="D50" i="1"/>
  <c r="D111" i="1"/>
  <c r="D120" i="1"/>
  <c r="D47" i="1"/>
  <c r="D110" i="1"/>
  <c r="D113" i="1"/>
  <c r="D107" i="1"/>
  <c r="D106" i="1"/>
  <c r="D104" i="1"/>
  <c r="D130" i="1"/>
  <c r="D12" i="1"/>
  <c r="D103" i="1"/>
  <c r="D131" i="1"/>
  <c r="D133" i="1"/>
  <c r="D128" i="1"/>
  <c r="D132" i="1"/>
  <c r="D129" i="1"/>
  <c r="D127" i="1"/>
  <c r="D42" i="1"/>
  <c r="D89" i="1"/>
  <c r="D7" i="1"/>
  <c r="D30" i="1"/>
  <c r="D66" i="1"/>
  <c r="D93" i="1"/>
  <c r="D54" i="1"/>
  <c r="D86" i="1"/>
  <c r="D16" i="1"/>
  <c r="D8" i="1"/>
  <c r="D36" i="1"/>
  <c r="D82" i="1"/>
  <c r="D57" i="1"/>
  <c r="D32" i="1"/>
  <c r="D2" i="1"/>
  <c r="D64" i="1"/>
  <c r="D10" i="1"/>
  <c r="D123" i="1"/>
  <c r="D97" i="1"/>
  <c r="D29" i="1"/>
  <c r="D21" i="1"/>
  <c r="D94" i="1"/>
  <c r="D76" i="1"/>
  <c r="D81" i="1"/>
  <c r="D17" i="1"/>
  <c r="D98" i="1"/>
  <c r="D43" i="1"/>
  <c r="D84" i="1"/>
  <c r="D85" i="1"/>
  <c r="D83" i="1"/>
  <c r="D87" i="1"/>
  <c r="D53" i="1"/>
  <c r="D39" i="1"/>
  <c r="D78" i="1"/>
  <c r="D65" i="1"/>
  <c r="D92" i="1"/>
  <c r="D88" i="1"/>
  <c r="D58" i="1"/>
  <c r="D100" i="1"/>
  <c r="D90" i="1"/>
  <c r="D55" i="1"/>
  <c r="D124" i="1"/>
  <c r="D96" i="1"/>
  <c r="D35" i="1"/>
  <c r="D69" i="1"/>
  <c r="D101" i="1"/>
  <c r="D102" i="1"/>
  <c r="D27" i="1"/>
  <c r="D73" i="1"/>
  <c r="D99" i="1"/>
  <c r="D41" i="1"/>
  <c r="D95" i="1"/>
  <c r="D19" i="1"/>
  <c r="D67" i="1"/>
  <c r="D9" i="1"/>
  <c r="D62" i="1"/>
  <c r="D34" i="1"/>
  <c r="D51" i="1"/>
  <c r="D40" i="1"/>
  <c r="D125" i="1"/>
  <c r="D14" i="1"/>
  <c r="D109" i="1"/>
  <c r="D105" i="1"/>
  <c r="D61" i="1"/>
  <c r="D5" i="1"/>
  <c r="D45" i="1"/>
  <c r="D37" i="1"/>
  <c r="D46" i="1"/>
  <c r="D112" i="1"/>
  <c r="D52" i="1"/>
  <c r="D38" i="1"/>
  <c r="D108" i="1"/>
  <c r="D121" i="1"/>
  <c r="D70" i="1"/>
  <c r="D31" i="1"/>
  <c r="D48" i="1"/>
  <c r="D44" i="1"/>
  <c r="D26" i="1"/>
  <c r="D6" i="1"/>
  <c r="D186" i="1"/>
  <c r="D250" i="1"/>
  <c r="D236" i="1"/>
  <c r="D239" i="1"/>
  <c r="D242" i="1"/>
  <c r="D233" i="1"/>
  <c r="D277" i="1"/>
  <c r="D225" i="1"/>
  <c r="D234" i="1"/>
  <c r="D206" i="1"/>
  <c r="D244" i="1"/>
  <c r="D254" i="1"/>
  <c r="D264" i="1"/>
  <c r="D271" i="1"/>
  <c r="D156" i="1"/>
  <c r="D241" i="1"/>
  <c r="D142" i="1"/>
  <c r="D270" i="1"/>
  <c r="D185" i="1"/>
  <c r="D172" i="1"/>
  <c r="D153" i="1"/>
  <c r="D161" i="1"/>
  <c r="D141" i="1"/>
  <c r="D253" i="1"/>
  <c r="D157" i="1"/>
  <c r="D272" i="1"/>
  <c r="D154" i="1"/>
  <c r="D284" i="1"/>
  <c r="D227" i="1"/>
  <c r="D188" i="1"/>
  <c r="D280" i="1"/>
  <c r="D283" i="1"/>
  <c r="D263" i="1"/>
  <c r="D221" i="1"/>
  <c r="D139" i="1"/>
  <c r="D251" i="1"/>
  <c r="D199" i="1"/>
  <c r="D259" i="1"/>
  <c r="D197" i="1"/>
  <c r="D285" i="1"/>
  <c r="D229" i="1"/>
  <c r="D281" i="1"/>
  <c r="D158" i="1"/>
  <c r="D273" i="1"/>
  <c r="D278" i="1"/>
  <c r="D178" i="1"/>
  <c r="D135" i="1"/>
  <c r="D173" i="1"/>
  <c r="D249" i="1"/>
  <c r="D240" i="1"/>
  <c r="D214" i="1"/>
  <c r="D226" i="1"/>
  <c r="D160" i="1"/>
  <c r="D187" i="1"/>
  <c r="D223" i="1"/>
  <c r="D235" i="1"/>
  <c r="D252" i="1"/>
  <c r="D286" i="1"/>
  <c r="D218" i="1"/>
  <c r="D169" i="1"/>
  <c r="D220" i="1"/>
  <c r="D194" i="1"/>
  <c r="D282" i="1"/>
  <c r="D210" i="1"/>
  <c r="D182" i="1"/>
  <c r="D180" i="1"/>
  <c r="D258" i="1"/>
  <c r="D201" i="1"/>
  <c r="D216" i="1"/>
  <c r="D207" i="1"/>
  <c r="D211" i="1"/>
  <c r="D184" i="1"/>
  <c r="D205" i="1"/>
  <c r="D290" i="1"/>
  <c r="D222" i="1"/>
  <c r="D174" i="1"/>
  <c r="D289" i="1"/>
  <c r="D291" i="1"/>
  <c r="D275" i="1"/>
  <c r="D274" i="1"/>
  <c r="D287" i="1"/>
  <c r="D196" i="1"/>
  <c r="D224" i="1"/>
  <c r="D175" i="1"/>
  <c r="D193" i="1"/>
  <c r="D183" i="1"/>
  <c r="D167" i="1"/>
  <c r="D146" i="1"/>
  <c r="D257" i="1"/>
  <c r="D232" i="1"/>
  <c r="D177" i="1"/>
  <c r="D288" i="1"/>
  <c r="D267" i="1"/>
  <c r="D230" i="1"/>
  <c r="D200" i="1"/>
  <c r="D215" i="1"/>
  <c r="D256" i="1"/>
  <c r="D151" i="1"/>
  <c r="D203" i="1"/>
  <c r="D171" i="1"/>
  <c r="D159" i="1"/>
  <c r="D217" i="1"/>
  <c r="D245" i="1"/>
  <c r="D181" i="1"/>
  <c r="D192" i="1"/>
  <c r="D138" i="1"/>
  <c r="D269" i="1"/>
  <c r="D268" i="1"/>
  <c r="D255" i="1"/>
  <c r="D265" i="1"/>
  <c r="D279" i="1"/>
  <c r="D165" i="1"/>
  <c r="D189" i="1"/>
  <c r="D144" i="1"/>
  <c r="D152" i="1"/>
  <c r="D246" i="1"/>
  <c r="D166" i="1"/>
  <c r="D276" i="1"/>
  <c r="D231" i="1"/>
  <c r="D228" i="1"/>
  <c r="D163" i="1"/>
  <c r="D168" i="1"/>
  <c r="D243" i="1"/>
  <c r="D238" i="1"/>
  <c r="D145" i="1"/>
  <c r="D150" i="1"/>
  <c r="D247" i="1"/>
  <c r="D143" i="1"/>
  <c r="D195" i="1"/>
  <c r="D134" i="1"/>
  <c r="D213" i="1"/>
  <c r="D260" i="1"/>
  <c r="D219" i="1"/>
  <c r="D248" i="1"/>
  <c r="D170" i="1"/>
  <c r="D262" i="1"/>
  <c r="D137" i="1"/>
  <c r="D209" i="1"/>
  <c r="D212" i="1"/>
  <c r="D148" i="1"/>
  <c r="D261" i="1"/>
  <c r="D179" i="1"/>
  <c r="D237" i="1"/>
  <c r="D140" i="1"/>
  <c r="D266" i="1"/>
  <c r="D202" i="1"/>
  <c r="D136" i="1"/>
  <c r="D155" i="1"/>
  <c r="D162" i="1"/>
  <c r="D164" i="1"/>
  <c r="D190" i="1"/>
  <c r="D208" i="1"/>
  <c r="D204" i="1"/>
  <c r="D198" i="1"/>
  <c r="D147" i="1"/>
  <c r="D191" i="1"/>
  <c r="D149" i="1"/>
  <c r="D370" i="1"/>
  <c r="D434" i="1"/>
  <c r="D396" i="1"/>
  <c r="D336" i="1"/>
  <c r="D464" i="1"/>
  <c r="D330" i="1"/>
  <c r="D462" i="1"/>
  <c r="D377" i="1"/>
  <c r="D405" i="1"/>
  <c r="D414" i="1"/>
  <c r="D465" i="1"/>
  <c r="D430" i="1"/>
  <c r="D348" i="1"/>
  <c r="D331" i="1"/>
  <c r="D335" i="1"/>
  <c r="D461" i="1"/>
  <c r="D466" i="1"/>
  <c r="D406" i="1"/>
  <c r="D394" i="1"/>
  <c r="D374" i="1"/>
  <c r="D357" i="1"/>
  <c r="D468" i="1"/>
  <c r="D389" i="1"/>
  <c r="D350" i="1"/>
  <c r="D366" i="1"/>
  <c r="D456" i="1"/>
  <c r="D431" i="1"/>
  <c r="D471" i="1"/>
  <c r="D460" i="1"/>
  <c r="D413" i="1"/>
  <c r="D397" i="1"/>
  <c r="D344" i="1"/>
  <c r="D417" i="1"/>
  <c r="D360" i="1"/>
  <c r="D362" i="1"/>
  <c r="D378" i="1"/>
  <c r="D410" i="1"/>
  <c r="D382" i="1"/>
  <c r="D347" i="1"/>
  <c r="D351" i="1"/>
  <c r="D349" i="1"/>
  <c r="D401" i="1"/>
  <c r="D358" i="1"/>
  <c r="D415" i="1"/>
  <c r="D345" i="1"/>
  <c r="D475" i="1"/>
  <c r="D337" i="1"/>
  <c r="D416" i="1"/>
  <c r="D343" i="1"/>
  <c r="D400" i="1"/>
  <c r="D346" i="1"/>
  <c r="D412" i="1"/>
  <c r="D476" i="1"/>
  <c r="D421" i="1"/>
  <c r="D356" i="1"/>
  <c r="D446" i="1"/>
  <c r="D342" i="1"/>
  <c r="D472" i="1"/>
  <c r="D422" i="1"/>
  <c r="D424" i="1"/>
  <c r="D473" i="1"/>
  <c r="D474" i="1"/>
  <c r="D407" i="1"/>
  <c r="D445" i="1"/>
  <c r="D426" i="1"/>
  <c r="D392" i="1"/>
  <c r="D355" i="1"/>
  <c r="D433" i="1"/>
  <c r="D409" i="1"/>
  <c r="D385" i="1"/>
  <c r="D376" i="1"/>
  <c r="D373" i="1"/>
  <c r="D368" i="1"/>
  <c r="D467" i="1"/>
  <c r="D367" i="1"/>
  <c r="D386" i="1"/>
  <c r="D440" i="1"/>
  <c r="D453" i="1"/>
  <c r="D432" i="1"/>
  <c r="D363" i="1"/>
  <c r="D441" i="1"/>
  <c r="D423" i="1"/>
  <c r="D365" i="1"/>
  <c r="D442" i="1"/>
  <c r="D403" i="1"/>
  <c r="D402" i="1"/>
  <c r="D419" i="1"/>
  <c r="D393" i="1"/>
  <c r="D361" i="1"/>
  <c r="D450" i="1"/>
  <c r="D436" i="1"/>
  <c r="D429" i="1"/>
  <c r="D458" i="1"/>
  <c r="D427" i="1"/>
  <c r="D420" i="1"/>
  <c r="D443" i="1"/>
  <c r="D447" i="1"/>
  <c r="D404" i="1"/>
  <c r="D395" i="1"/>
  <c r="D379" i="1"/>
  <c r="D364" i="1"/>
  <c r="D411" i="1"/>
  <c r="D451" i="1"/>
  <c r="D387" i="1"/>
  <c r="D477" i="1"/>
  <c r="D338" i="1"/>
  <c r="D399" i="1"/>
  <c r="D438" i="1"/>
  <c r="D340" i="1"/>
  <c r="D341" i="1"/>
  <c r="D332" i="1"/>
  <c r="D398" i="1"/>
  <c r="D444" i="1"/>
  <c r="D339" i="1"/>
  <c r="D418" i="1"/>
  <c r="D437" i="1"/>
  <c r="D381" i="1"/>
  <c r="D371" i="1"/>
  <c r="D454" i="1"/>
  <c r="D469" i="1"/>
  <c r="D333" i="1"/>
  <c r="D391" i="1"/>
  <c r="D455" i="1"/>
  <c r="D372" i="1"/>
  <c r="D428" i="1"/>
  <c r="D375" i="1"/>
  <c r="D435" i="1"/>
  <c r="D359" i="1"/>
  <c r="D388" i="1"/>
  <c r="D459" i="1"/>
  <c r="D383" i="1"/>
  <c r="D354" i="1"/>
  <c r="D470" i="1"/>
  <c r="D369" i="1"/>
  <c r="D408" i="1"/>
  <c r="D425" i="1"/>
  <c r="D380" i="1"/>
  <c r="D390" i="1"/>
  <c r="D448" i="1"/>
  <c r="D353" i="1"/>
  <c r="D463" i="1"/>
  <c r="D352" i="1"/>
  <c r="D439" i="1"/>
  <c r="D334" i="1"/>
  <c r="D384" i="1"/>
  <c r="D449" i="1"/>
  <c r="D452" i="1"/>
  <c r="D478" i="1"/>
  <c r="D457" i="1"/>
</calcChain>
</file>

<file path=xl/sharedStrings.xml><?xml version="1.0" encoding="utf-8"?>
<sst xmlns="http://schemas.openxmlformats.org/spreadsheetml/2006/main" count="3396" uniqueCount="747">
  <si>
    <t>Search Date</t>
  </si>
  <si>
    <t>Keyword Phrase</t>
  </si>
  <si>
    <t>Site Title</t>
  </si>
  <si>
    <t>Site Url</t>
  </si>
  <si>
    <t>yahoo</t>
  </si>
  <si>
    <t>stem grants</t>
  </si>
  <si>
    <t>YOU Belong in STEM - U.S. Department of Education</t>
  </si>
  <si>
    <t>STEM Grants for K-12 &amp; Nonprofits – STEMgrants.com</t>
  </si>
  <si>
    <t>STEM Action Grants - Society for Science</t>
  </si>
  <si>
    <t>Funding at NSF | NSF - National Science Foundation</t>
  </si>
  <si>
    <t>NSF Scholarships in Science, Technology, Engineering, and ...</t>
  </si>
  <si>
    <t>Directorate for STEM Education (EDU) | NSF - National Science ...</t>
  </si>
  <si>
    <t>Guide to Education Grants: How to Get Funding for Your STEM ...</t>
  </si>
  <si>
    <t>STEM Grants – STEMfinity</t>
  </si>
  <si>
    <t>STEM Research Grants - Society for Science</t>
  </si>
  <si>
    <t>STEM Action Grant Information - Society for Science</t>
  </si>
  <si>
    <t>STEM Grants - NEA Foundation</t>
  </si>
  <si>
    <t>Free Guide to STEM Grants – STEMgrants.com</t>
  </si>
  <si>
    <t>STEM Grants - PLTW</t>
  </si>
  <si>
    <t>Enhancing STEM Education, Research Capacity, and ... - NSF</t>
  </si>
  <si>
    <t>aol</t>
  </si>
  <si>
    <t>2024 STEM Action Grantees - Society for Science</t>
  </si>
  <si>
    <t>Supporting Women and Girls in STEM - Broadening Participation ...</t>
  </si>
  <si>
    <t>Improving Undergraduate STEM Education: Directorate for STEM ...</t>
  </si>
  <si>
    <t>Guide to Funding a School STEM Program | Science Explorers</t>
  </si>
  <si>
    <t>The Comprehensive List of Grants for Teachers | STEM Grants</t>
  </si>
  <si>
    <t>2023 STEM Action Grantees - Society for Science</t>
  </si>
  <si>
    <t>lukol</t>
  </si>
  <si>
    <t>STEM Grants</t>
  </si>
  <si>
    <t>STEM &amp; Science Related Grants | Wisconsin Department of Public ...</t>
  </si>
  <si>
    <t>Grants | STEM Action Center</t>
  </si>
  <si>
    <t>STEM Grants and Opportunities - Science, Technology/Engineering ...</t>
  </si>
  <si>
    <t>Funding Opportunities - STEM</t>
  </si>
  <si>
    <t>STEM Funding Opportunities -Explore Funding | NC Biotech</t>
  </si>
  <si>
    <t>Afterschool Alliance STEM Funding</t>
  </si>
  <si>
    <t>Grants</t>
  </si>
  <si>
    <t>STEM Grants for Teachers I NextWaveSTEM</t>
  </si>
  <si>
    <t>K-12 Education Grants - Idaho National Laboratory</t>
  </si>
  <si>
    <t>Healey-Driscoll Administration Announces $195,000 in Grants ...</t>
  </si>
  <si>
    <t>STEM Grant &amp; Funding Finder</t>
  </si>
  <si>
    <t>Grants for STEM Education | 2024 | ZipGrow Inc.</t>
  </si>
  <si>
    <t>grants</t>
  </si>
  <si>
    <t>STEM Grants | OCCRL | College of Education | Illinois</t>
  </si>
  <si>
    <t>Classroom Grant Program - Ohio STEM Learning Network</t>
  </si>
  <si>
    <t>APS/Phoenix Suns STEM Teacher Grants</t>
  </si>
  <si>
    <t>stem robotics grant mississippi</t>
  </si>
  <si>
    <t>Grant Opportunities | FIRST</t>
  </si>
  <si>
    <t>Grants - VEX Robotics</t>
  </si>
  <si>
    <t>Robotics Grants | DoD STEM</t>
  </si>
  <si>
    <t>2025 FIRST ® STEM Equity Community Innovation Grant</t>
  </si>
  <si>
    <t>STEM Funding - STEM Supplies</t>
  </si>
  <si>
    <t>2024-2025 FRC Sponsorship Grants – Robotics Alliance Project</t>
  </si>
  <si>
    <t>gibiru</t>
  </si>
  <si>
    <t>DOE: STEM Education</t>
  </si>
  <si>
    <t>entireweb</t>
  </si>
  <si>
    <t>List Building and Cash Generating Website Totally Free</t>
  </si>
  <si>
    <t>altavista</t>
  </si>
  <si>
    <t>robotical.io › about › educators
UK Funding Grants - Robotical</t>
  </si>
  <si>
    <t>zapmeta</t>
  </si>
  <si>
    <t>STEM Grants - STEMfinity</t>
  </si>
  <si>
    <t>goodsearch</t>
  </si>
  <si>
    <t>alltheinternet</t>
  </si>
  <si>
    <t>refseek</t>
  </si>
  <si>
    <t>googlescholar</t>
  </si>
  <si>
    <t>Impact of robotics and geospatial technology interventions on youth STEM learning and attitudes</t>
  </si>
  <si>
    <t>Leveraging S-STEM scholarship programs</t>
  </si>
  <si>
    <t>biglobe</t>
  </si>
  <si>
    <t>kvasir</t>
  </si>
  <si>
    <t>Scholarships - Financial Aid | Mississippi Gulf Coast Community ...</t>
  </si>
  <si>
    <t>stem competition grant</t>
  </si>
  <si>
    <t>Science, Technology, Engineering &amp; Mathematics (STEM) | Virginia ...</t>
  </si>
  <si>
    <t>Robotics League Participation Grants | Wisconsin Department of ...</t>
  </si>
  <si>
    <t>STEM Innovation Grant Program - The American Rocketry Challenge</t>
  </si>
  <si>
    <t>Program Funding — Glenn W. Bailey Foundation</t>
  </si>
  <si>
    <t>Competitive 99h: Robotics Competition Grant - Grants - EdTech ...</t>
  </si>
  <si>
    <t>www.stem.org.uk › resources › community
Funding for STEM related activities | STEM - STEM Learning</t>
  </si>
  <si>
    <t>royalsociety.org › grants › partnership-grants
Partnership Grants - Royal Society</t>
  </si>
  <si>
    <t>www.thestemhub.org.uk › resources › primary
PRIMARY COMPETITIONS AND GRANTS - The STEM Hub</t>
  </si>
  <si>
    <t>see-science.co.uk
See Science: educational and enrichment consultancy in Wales</t>
  </si>
  <si>
    <t>STEM Grants for Universities and Colleges – STEMgrants.com</t>
  </si>
  <si>
    <t>Here Are the Top STEM Grants Available in 2023 - GrantWatch</t>
  </si>
  <si>
    <t>first microprocessor</t>
  </si>
  <si>
    <t>Try SpeedyAds Today!</t>
  </si>
  <si>
    <t>who invented the first microprocessor</t>
  </si>
  <si>
    <t>creating a memecoin</t>
  </si>
  <si>
    <t>ai meme coin generator</t>
  </si>
  <si>
    <t>create meme coin website</t>
  </si>
  <si>
    <t>creating a memecoin free</t>
  </si>
  <si>
    <t>creating a memecoin network</t>
  </si>
  <si>
    <t>free ai meme coin generator</t>
  </si>
  <si>
    <t>free meme design tool</t>
  </si>
  <si>
    <t>free token generator online</t>
  </si>
  <si>
    <t>how to create a meme cryptocurrency</t>
  </si>
  <si>
    <t>make your own cryptocurrency in 10 minutes</t>
  </si>
  <si>
    <t>making a meme coin</t>
  </si>
  <si>
    <t>meme coin image generator</t>
  </si>
  <si>
    <t>social securty benefits</t>
  </si>
  <si>
    <t>senior benefits</t>
  </si>
  <si>
    <t>social security strategy</t>
  </si>
  <si>
    <t>social security bonus</t>
  </si>
  <si>
    <t>social security secrets</t>
  </si>
  <si>
    <t>maximizing social security benefits</t>
  </si>
  <si>
    <t>social security guide</t>
  </si>
  <si>
    <t>ssak-521</t>
  </si>
  <si>
    <t>11-17-2024</t>
  </si>
  <si>
    <t>stem classroom grants</t>
  </si>
  <si>
    <t>Grants and Programs | U.S. Department of Education</t>
  </si>
  <si>
    <t>55 Best Education Grants for Teachers and Schools</t>
  </si>
  <si>
    <t>Classroom Grants - AIAA</t>
  </si>
  <si>
    <t>Grants - STEM Education Works</t>
  </si>
  <si>
    <t>S T E M Classroom Grants - ts in</t>
  </si>
  <si>
    <t>National STEM Teacher Corps Pilot Program - NSF</t>
  </si>
  <si>
    <t>Fall 2024 Classroom Grant Awards - Ohio STEM Learning Network</t>
  </si>
  <si>
    <t>TVA STEM - TVA.com</t>
  </si>
  <si>
    <t>Classroom Grants - ts in</t>
  </si>
  <si>
    <t>Grants and Awards - Greater New Orleans STEM Initiative</t>
  </si>
  <si>
    <t>Teacher Grants: Where To Find Free Money For Teachers - Forbes</t>
  </si>
  <si>
    <t>Grants for Teachers to Use on Classroom Supplies</t>
  </si>
  <si>
    <t>Discovery Research PreK-12 (DRK-12) | NSF - National Science ...</t>
  </si>
  <si>
    <t>Society for Science fuels innovation with $110K in educator ...</t>
  </si>
  <si>
    <t>Funding Your STEM Classroom With Grants - STEM Supplies</t>
  </si>
  <si>
    <t>Science Education Grants – Community Resources for Science</t>
  </si>
  <si>
    <t>Funding Opportunity: STEM Classroom and Labs Grant</t>
  </si>
  <si>
    <t>Stem Like Me! - The STEM Foundation</t>
  </si>
  <si>
    <t>20 Grants for Teachers - All Education Schools</t>
  </si>
  <si>
    <t>TSIN Announces $1 million in 2022 Classroom Grants</t>
  </si>
  <si>
    <t>PreK-12 Classroom Grants | STEM Action Center</t>
  </si>
  <si>
    <t>Applications Now Open for K-12 STEM Classroom Grants</t>
  </si>
  <si>
    <t>10 STEM and STEAM Education Grants - September 21, 2022</t>
  </si>
  <si>
    <t>Applications Open for K-12 STEM Education Grants</t>
  </si>
  <si>
    <t>STEM &amp; STEAM Grants - How to Fund STEM Education | LEGO ...</t>
  </si>
  <si>
    <t>K-5 STEM Classroom Grant</t>
  </si>
  <si>
    <t>Y-12 STEM Classroom Grants | Y-12 National Security Complex</t>
  </si>
  <si>
    <t>Grants for STEM Education Coming to Ohio Schools</t>
  </si>
  <si>
    <t>Ohio STEM Learning Network Classroom Grant accepting ...</t>
  </si>
  <si>
    <t>Education Grants | ORAU</t>
  </si>
  <si>
    <t>LEO - Grants</t>
  </si>
  <si>
    <t>Programs: Directorate for STEM Education (EDU)</t>
  </si>
  <si>
    <t>School Programs &amp; Grants | Orange &amp; Rockland</t>
  </si>
  <si>
    <t>STEM Resources</t>
  </si>
  <si>
    <t>STEM</t>
  </si>
  <si>
    <t>How to Get Your STEM Program Funded: Step-by-Step Guide</t>
  </si>
  <si>
    <t>Kid Spark Education STEM Equity Grants Initiative</t>
  </si>
  <si>
    <t>LeBlanc receives $350,000 NSF grant for STEM education research ...</t>
  </si>
  <si>
    <t>STEM Education Grants in Texas | Instrumentl</t>
  </si>
  <si>
    <t>eeBLUE 21st CCLC Watershed STEM Education Partnership Grant ...</t>
  </si>
  <si>
    <t>Roundup of STEM Grant Opportunities</t>
  </si>
  <si>
    <t>STEM Education | Lockheed Martin</t>
  </si>
  <si>
    <t>Education Grants - Air &amp; Space Forces Association</t>
  </si>
  <si>
    <t>Shapiro Administration Makes More Than $5 Million Available for ...</t>
  </si>
  <si>
    <t>STEM Grants for K-12 Educators | Snohomish STEM</t>
  </si>
  <si>
    <t>STEM classroom grant Archives | AdoptAClassroom.org</t>
  </si>
  <si>
    <t>External Grants: Funding Opportunities: STEM Education Innovation ...</t>
  </si>
  <si>
    <t>Therapeutic Classroom Grant | Department of Education</t>
  </si>
  <si>
    <t>F5 Awards STEM Education Grants to Nonprofits Serving Women ...</t>
  </si>
  <si>
    <t>Funding Sources for Environmental Education</t>
  </si>
  <si>
    <t>Futureshaper STEM Grants Program | Arizona Diamondbacks</t>
  </si>
  <si>
    <t>Grants for Grades 6 - 12 - Toshiba America Foundation</t>
  </si>
  <si>
    <t>Nita M. Lowey 21st Century Community Learning Centers ...</t>
  </si>
  <si>
    <t>Six of our Elementary Schools Wins Ohio STEM Classroom Grant ...</t>
  </si>
  <si>
    <t>Community | Education Funding Opportunities - FPL</t>
  </si>
  <si>
    <t>School Grants | Department of Education | Commonwealth of ...</t>
  </si>
  <si>
    <t>STEM Grant - Adams-Columbia Electric Cooperative</t>
  </si>
  <si>
    <t>www.stem.org.uk › news-and-views › news
Apply for a Royal Society Partnership Grant ... - STEM Learning</t>
  </si>
  <si>
    <t>www.see-science.co.uk › whats-on › grants
grants - See Science</t>
  </si>
  <si>
    <t>www.rigb.org › learning › grants-schools
Grants for schools - Royal Institution</t>
  </si>
  <si>
    <t>assets.publishing.service.gov.uk › media › 5a80237ae
A guide to STEM CPD opportunities for teachers - GOV.UK</t>
  </si>
  <si>
    <t>COVA STEM Hub Announces $450000 in Grant Awards</t>
  </si>
  <si>
    <t>Racial Equity in STEM Education (EDU Racial Equity) | NSF ...</t>
  </si>
  <si>
    <t>Y-12 accepting STEM classroom grant applications | Y-12 National ...</t>
  </si>
  <si>
    <t>Ohio STEM Learning Network Classroom Grant program funding ...</t>
  </si>
  <si>
    <t>Battelle Funds More than 100 Ohio STEM Classroom Grants</t>
  </si>
  <si>
    <t>K-5 STEM Classroom Grant Round 3</t>
  </si>
  <si>
    <t>Battelle Announces Grant Opportunity To Boost STEM Education ...</t>
  </si>
  <si>
    <t>Pantex accepting applications for STEM classroom grants | Pantex ...</t>
  </si>
  <si>
    <t>Advancing Informal STEM Learning (AISL) | NSF - National Science ...</t>
  </si>
  <si>
    <t>Y-12 accepting applications for STEM classroom grants | Y-12 ...</t>
  </si>
  <si>
    <t>Battelle Funding New Classroom Grants for Schools</t>
  </si>
  <si>
    <t>Over $10 Million in STEM Teacher Grants Awarded to Organizations ...</t>
  </si>
  <si>
    <t>K-5 STEM Education Program Grant</t>
  </si>
  <si>
    <t>Broadening Participation in STEM | NSF - National Science ...</t>
  </si>
  <si>
    <t>CHE: Funds for Teacher Recruitment</t>
  </si>
  <si>
    <t>Battelle to Send More than $1 Million to Ohio Classrooms for STEM ...</t>
  </si>
  <si>
    <t>Grants | Wisconsin Department of Public Instruction</t>
  </si>
  <si>
    <t>NOAA-21st Century Community Learning Centers Watershed STEM ...</t>
  </si>
  <si>
    <t>Education and Training | NSF - National Science Foundation</t>
  </si>
  <si>
    <t>Division of Undergraduate Education (DUE) | NSF - National ...</t>
  </si>
  <si>
    <t>Pantex accepting STEM classroom grant applications | Pantex Plant</t>
  </si>
  <si>
    <t>Battelle Expands Classroom Grants to Ohio Educators for Third Year</t>
  </si>
  <si>
    <t>IUSE: Innovation in Two-Year College STEM Education (ITYC) | NSF ...</t>
  </si>
  <si>
    <t>Open mines: Launching a mini-grant program to incentivize open educational resource development for STEM disciplines</t>
  </si>
  <si>
    <t>Teacher Incentive Fund STEM Grant in Houston ISD: A Descriptive Overview. Research Educational Program Report.</t>
  </si>
  <si>
    <t>Writing Grants for the Stem Classroom</t>
  </si>
  <si>
    <t>Seeking STEM: The Causal Impact of Need-Based Grant Aid on Undergraduates' Field of Study</t>
  </si>
  <si>
    <t>STEM Pilot Project Grant Program: Report to the Legislature, December 2016.</t>
  </si>
  <si>
    <t>Enhancing the success of minority STEM students by providing financial, academic, social, and cultural capital</t>
  </si>
  <si>
    <t>Building a community of scholars: One university's story of students engaged in learning science, mathematics, and engineering through a NSF S-STEM grant–Part II</t>
  </si>
  <si>
    <t>Grant-writing bootcamp: an intervention to enhance the research capacity of academic women in STEM</t>
  </si>
  <si>
    <t>Trying on teaching: Transforming STEM classrooms with a Learning Assistant program</t>
  </si>
  <si>
    <t>Development of a distance education program by a land-grant university augments the 2-year to 4-year STEM pipeline and increases diversity in STEM</t>
  </si>
  <si>
    <t>Funding success following STEM teacher mentoring drives classroom innovation</t>
  </si>
  <si>
    <t>Illinois Improving Teacher Quality State Grants: Learning about STEM Partnerships.</t>
  </si>
  <si>
    <t>Leveraging Grant-Writing for Transforming Students' Normative Views of STEM</t>
  </si>
  <si>
    <t>The Value of STEM Scholarship Grants to Undergraduate and Graduate Students Intending to Study the STEM Disciplines and Pursue STEM Careers</t>
  </si>
  <si>
    <t>Teacher Incentive Fund STEM Grant in Houston ISD: A Human Capital Approach to Improving STEM Education. Research Educational Program Report.</t>
  </si>
  <si>
    <t>A research publication and grant preparation program for native American faculty in STEM: Implementation of the six R's indigenous framework</t>
  </si>
  <si>
    <t>… STEM skills: adaptation of the supplemental instruction model to improve STEM education and build transferable skills in undergraduate courses and beyond: STEM …</t>
  </si>
  <si>
    <t>Board 19: Lessons Learned from an S-STEM Grant</t>
  </si>
  <si>
    <t>Science, Technology, Engineering, and Mathematics (STEM) Education: An Overview. CRS Report R45223, Version 4. Updated.</t>
  </si>
  <si>
    <t>The role of faculty in fostering STEM transfer student success</t>
  </si>
  <si>
    <t>Operation STEM: increasing success and improving retention among first-generation and underrepresented minority students in STEM</t>
  </si>
  <si>
    <t>Leveraging an NSF S-STEM Grant to Initiate" PEEPS"(Program for Engineering Excellence for Partner Schools) for Recruiting and Retaining Students from …</t>
  </si>
  <si>
    <t>Gateway Into First Year Stem Curricula: A Community College/University Collaboration Promoting Retention And Articulation</t>
  </si>
  <si>
    <t>Teacher Incentive Fund STEM Grant in Houston ISD: A Matched-Comparison Analysis of Math and Science STAAR Scores. Research Educational Program Report.</t>
  </si>
  <si>
    <t>… of science communication skills in STEM university students: understanding their learning experiences as they work in middle and high school classrooms</t>
  </si>
  <si>
    <t>The role of exploration in the classroom (STEM)</t>
  </si>
  <si>
    <t>A rolling stone: Evaluation of one NSF S-STEM program through successive grant periods</t>
  </si>
  <si>
    <t>Investing in teachers' leadership capacity: A model from STEM education</t>
  </si>
  <si>
    <t>Smaller classes promote equitable student participation in STEM</t>
  </si>
  <si>
    <t>From classroom Arduinos to missions on Mars: Making STEM education accessible and effective through remotely operated robotics</t>
  </si>
  <si>
    <t>robot classroom grants</t>
  </si>
  <si>
    <t>Apply for a Robot Grant — TechPoint Foundation for Youth</t>
  </si>
  <si>
    <t>Google.org announces $10 million in grants for robotics and ...</t>
  </si>
  <si>
    <t>Amazon funds robotics grants for 100 schools - About Amazon</t>
  </si>
  <si>
    <t>Grants and Funding Archives | Financial Resources | Ozobot</t>
  </si>
  <si>
    <t>Google Grants $10 Million to Robotics Programs for Middle ...</t>
  </si>
  <si>
    <t>Classroom Robotics Kit Packages</t>
  </si>
  <si>
    <t>Classroom Grants | Elkhorn Public Schools Foundation</t>
  </si>
  <si>
    <t>Botley® 2.0 The Coding Robot Classroom Bundle | Learning ...</t>
  </si>
  <si>
    <t>6 Educational Grants That Could Let You Bring Robotics Into ...</t>
  </si>
  <si>
    <t>Grants - Harrisburg Education Foundation</t>
  </si>
  <si>
    <t>Teacher Grants for Innovation - Georgia Teachers Initiative</t>
  </si>
  <si>
    <t>A robot in every classroom - USC News &amp; Events | University ...</t>
  </si>
  <si>
    <t>Ozobot | Robots to code and create with</t>
  </si>
  <si>
    <t>Finch Robot Classroom Flock (with micro:bit) – STEMfinity</t>
  </si>
  <si>
    <t>STEMfinity | Robot Crawler Classroom Pack | KiwiCo</t>
  </si>
  <si>
    <t>Amazon Provides Robotics Grants to 100 Schools in Underserved ...</t>
  </si>
  <si>
    <t>Grants for STEM Education in Elementary | KinderLab Robotics</t>
  </si>
  <si>
    <t>Grants and Funding Tool | Fuel Your Classroom Programs - Ozobot</t>
  </si>
  <si>
    <t>700 Grant Opportunities to Fund Your STEM Classroom</t>
  </si>
  <si>
    <t>Storm Brewing Brings Smiles While Teaching Valuable Life ...</t>
  </si>
  <si>
    <t>Creative STEAM Robotics Kits and Free Curriculum - Barnabas ...</t>
  </si>
  <si>
    <t>Robots are becoming classroom tutors. But will they make the ...</t>
  </si>
  <si>
    <t>INNOVATIVE TEACHER'S GRANT - New Brunswick Education Foundation</t>
  </si>
  <si>
    <t>STEM Kits &amp; Robotics for Kids | Inspire STEM Education with ...</t>
  </si>
  <si>
    <t>Grants For Teachers - Space Foundation Discovery Center</t>
  </si>
  <si>
    <t>10 Grants for Professional Teacher Development in 2024</t>
  </si>
  <si>
    <t>Grant Funding Opportunities | Department of Education</t>
  </si>
  <si>
    <t>About Team Grants</t>
  </si>
  <si>
    <t>Apply for Grants - Rural Technology Fund</t>
  </si>
  <si>
    <t>AEP Education</t>
  </si>
  <si>
    <t>Ozobot Grant Report: Funding STEM &amp; Robotics Programs | Ozobot</t>
  </si>
  <si>
    <t>Robotics Education Development Program Grants Request for ...</t>
  </si>
  <si>
    <t>Corona del Sol Robotics Receives SRP Classroom Grant for ...</t>
  </si>
  <si>
    <t>Classroom Grants | The Foundation for PSUSD</t>
  </si>
  <si>
    <t>MSDE Grant Programs</t>
  </si>
  <si>
    <t>Nearly 80 schools to receive robotics grants | Department of Education</t>
  </si>
  <si>
    <t>Trying to get funding for my school's robotics club to compete : r/FTC</t>
  </si>
  <si>
    <t>Australia Grant Sources | Robotical</t>
  </si>
  <si>
    <t>About the State Robotics Initiative — TechPoint Foundation for Youth</t>
  </si>
  <si>
    <t>Google Grant Application Eligibility - Google for Nonprofits</t>
  </si>
  <si>
    <t>College of Education brings research, robots together</t>
  </si>
  <si>
    <t>UK Funding Sources – VEX Library</t>
  </si>
  <si>
    <t>Teacher Grants - Bellingham Public Schools Foundation</t>
  </si>
  <si>
    <t>SPEAR Robotics Club's Competition Robot | Powhatan County ...</t>
  </si>
  <si>
    <t>TechPoint Foundation for Youth | EDUCATORS: REMINDER TO ...</t>
  </si>
  <si>
    <t>TechPoint Foundation for Youth | NEW! After-School Robot Grants ...</t>
  </si>
  <si>
    <t>9 grants to fund your robotics education dreams</t>
  </si>
  <si>
    <t>Grant Assistance - BirdBrain Technologies</t>
  </si>
  <si>
    <t>Find Funding for DroneBlocks STEM Drone &amp; Robotics Programs ...</t>
  </si>
  <si>
    <t>Robotics Grant 2025| AMSTI | ALSDE</t>
  </si>
  <si>
    <t>How To Get Funding - Carnegie Mellon Robotics Academy ...</t>
  </si>
  <si>
    <t>Carolyn Watson Rural Oklahoma Community Foundation | OCCF</t>
  </si>
  <si>
    <t>Data Center Community Action Grants - Meta Data Centers</t>
  </si>
  <si>
    <t>Grants - Sparta Education Foundation</t>
  </si>
  <si>
    <t>Assistant Professor of Technology, Engineering, and Design ...</t>
  </si>
  <si>
    <t>Sphero Resources for Corporate &amp; Organizational Grants</t>
  </si>
  <si>
    <t>Gravely and Paige Grants | AFCEA International</t>
  </si>
  <si>
    <t>Grant Resources | Pitsco Education</t>
  </si>
  <si>
    <t>Navarro Awards STEM Education Grants to Three Nevada Schools ...</t>
  </si>
  <si>
    <t>Teacher Innovation Mini-Grants Summer 2023 | West Virginia Public ...</t>
  </si>
  <si>
    <t>WPI Robotics Grants</t>
  </si>
  <si>
    <t>FANUC EDUCATION GRANT - APT Manufacturing Solutions</t>
  </si>
  <si>
    <t>News in Brief: Expanding Robot Research with $1.3M Grant | UVA ...</t>
  </si>
  <si>
    <t>SRP education grant winners for Touchdowns for Teachers</t>
  </si>
  <si>
    <t>All Port Huron schools now have robotics programs thanks to grant ...</t>
  </si>
  <si>
    <t>Continuing to Support Innovation through Bright Ideas Classroom ...</t>
  </si>
  <si>
    <t>Funding Opportunities | National Institute of Food and Agriculture</t>
  </si>
  <si>
    <t>Grant Expands Robotics Opportunities for More NC Students | NC DPI</t>
  </si>
  <si>
    <t>Education Grants &amp; Charitable Donations | Honda</t>
  </si>
  <si>
    <t>MA STEM Week Grant - ROBOTICS FOR ALL</t>
  </si>
  <si>
    <t>Grant Opportunities - West Virginia Department of Education</t>
  </si>
  <si>
    <t>West Nassau High School Hosts Robotics Season Kick-off - Nassau ...</t>
  </si>
  <si>
    <t>Trail Blazers Foundation awards grant to NMS robotics program ...</t>
  </si>
  <si>
    <t>www.gov.uk › government › news
Thousands more to train in future tech like AI as government ...</t>
  </si>
  <si>
    <t>edu.google.com › intl › ALL_my
Google Giving for Education | Google for Education</t>
  </si>
  <si>
    <t>kinderlabrobotics.com › kibo › in-the-classroom
Coding Robots for the Classroom | KinderLab Robotics</t>
  </si>
  <si>
    <t>www.restack.io › p › ai-for-human-robot
Grant Funding For Human-Robot Collaboration | Restackio</t>
  </si>
  <si>
    <t>Funding, Grants and Resources - Robotical</t>
  </si>
  <si>
    <t>Grants for Robotics | Instrumentl</t>
  </si>
  <si>
    <t>Grants and Funding | Robolink</t>
  </si>
  <si>
    <t>Here is the STEM grants list for 2023! - RobotLAB</t>
  </si>
  <si>
    <t>STEM &amp; Computer Science Funding Resources - Sphero</t>
  </si>
  <si>
    <t>Find Funding for DroneBlocks STEM Drone &amp; Robotics Programs</t>
  </si>
  <si>
    <t>Funding and Grants for Robotics Programs - VEX Library</t>
  </si>
  <si>
    <t>Grants and Funding Tool 2 | STEM and Computer Science Funding</t>
  </si>
  <si>
    <t>US Grants and Funding Sources - Robotical</t>
  </si>
  <si>
    <t>Grant Funding - Modular Robotics | Cubelets robot blocks</t>
  </si>
  <si>
    <t>K-12 Special Education Funding for RoboKind</t>
  </si>
  <si>
    <t>In-Classroom Grant Terms and Conditions — TechPoint Foundation ...</t>
  </si>
  <si>
    <t>Want to start a Robotics Team? | Department of Education</t>
  </si>
  <si>
    <t>SMSA Students Receive Grant for Educational Robot | Hartford ...</t>
  </si>
  <si>
    <t>OKBest Robotics Secures Aviation Education Grant</t>
  </si>
  <si>
    <t>LRDC Scientists Receive $900,000 Grant to Study Robots in Math ...</t>
  </si>
  <si>
    <t>GMC Prep School Teacher Awarded Grant for Robotics Program ...</t>
  </si>
  <si>
    <t>CDS | Corona del Sol Robotics Receives SRP Classroom Grant for ...</t>
  </si>
  <si>
    <t>Maryland Robotics Grant Program 2024</t>
  </si>
  <si>
    <t>Grants to study robotics as teaching tool in schools | UC Davis</t>
  </si>
  <si>
    <t>REC Foundation</t>
  </si>
  <si>
    <t>Robots in the ELA Classroom - MassCUE</t>
  </si>
  <si>
    <t>DOE: State and Federal Grants and Programs</t>
  </si>
  <si>
    <t>10K Grant for Robotics Education • News - Macon County Schools</t>
  </si>
  <si>
    <t>FHSU secures NASA grants to boost robotics and renewable energy ...</t>
  </si>
  <si>
    <t>TWC Youth Robotics Grants Inspire High School Students to Pursue ...</t>
  </si>
  <si>
    <t>Thomasville schools receive robotics grants | Thomasville City Schools</t>
  </si>
  <si>
    <t>Cal Poly Wins $700,000 Federal Grant to Study the Social Impacts of ...</t>
  </si>
  <si>
    <t>UNL earns $3 million grant to launch robotics curriculum for schools ...</t>
  </si>
  <si>
    <t>NASA grant to fund teacher workshop in robotics</t>
  </si>
  <si>
    <t>Walking, talking robot engages students and helps them learn about ...</t>
  </si>
  <si>
    <t>GRANT OPPORTUNITIES | Arkansas Association of Educational ...</t>
  </si>
  <si>
    <t>STEM Education - Maryland Space Business Roundtable (MSBR)</t>
  </si>
  <si>
    <t>Grant Program Brings Robotics, Virtual Reality, and More to Berks ...</t>
  </si>
  <si>
    <t>Science, Technology, Engineering, and Mathematics Education ...</t>
  </si>
  <si>
    <t>A robot as a teaching assistant in an English class</t>
  </si>
  <si>
    <t>Kindergarten robotics: Using robotics to motivate math, science, and engineering literacy in elementary school</t>
  </si>
  <si>
    <t>STORMLab for STEM education: An affordable modular robotic kit for integrated science, technology, engineering, and math education</t>
  </si>
  <si>
    <t>Using robotics as the technological foundation for the TPACK framework in K-12 classrooms</t>
  </si>
  <si>
    <t>University, Community College, and Industry Partnership: Revamping Robotics Education to Meet 21st Century Workforce Needs–NSF-sponsored Project Final …</t>
  </si>
  <si>
    <t>Going to school on a robot: Robot and user interface design features that matter</t>
  </si>
  <si>
    <t>More than robots: An evaluation of the first robotics competition participant and institutional impacts</t>
  </si>
  <si>
    <t>Using Simple Educational Robots as a Technology for Teaching Early Childhood and Primary Education Literacy in the United</t>
  </si>
  <si>
    <t>Board 211: Building a'Project-Based Learning for Rural Alabama STEM Middle School Teachers in Machine Learning and Robotics' RET Site (Year 2)</t>
  </si>
  <si>
    <t>The effect of a classroom-based intensive robotics and programming workshop on sequencing ability in early childhood</t>
  </si>
  <si>
    <t>Building trust in robots in robotics-focused STEM education under TPACK framework in middle schools</t>
  </si>
  <si>
    <t>Sneaking in through the back door: Introducing K-12 teachers to robot programming</t>
  </si>
  <si>
    <t>A robot laboratory for teaching artificial intelligence</t>
  </si>
  <si>
    <t>Children teach a care-receiving robot to promote their learning: Field experiments in a classroom for vocabulary learning</t>
  </si>
  <si>
    <t>Autonomous robot design and build: novel hands-on experience for undergraduate students</t>
  </si>
  <si>
    <t>Development of a Programming Teaching-Aid Robot with Intuitive Motion Instruction Set</t>
  </si>
  <si>
    <t>Get this!? mixed reality improves robot communication regardless of mental workload</t>
  </si>
  <si>
    <t>Telepresence robots: a new model for public administration course delivery</t>
  </si>
  <si>
    <t>A two-month field trial in an elementary school for long-term human–robot interaction</t>
  </si>
  <si>
    <t>Robot RAL-ly international-Promoting STEM in elementary school across international boundaries using remote access technology</t>
  </si>
  <si>
    <t>Building a culture of creation</t>
  </si>
  <si>
    <t>The case of classroom robots: teachers' deliberations on the ethical tensions</t>
  </si>
  <si>
    <t>Engagement in practice: Tensions and progressions of a robotics service-learning program</t>
  </si>
  <si>
    <t>Sustainability of K-12 engineering outreach activities beyond the grant period</t>
  </si>
  <si>
    <t>Socialization between toddlers and robots at an early childhood education center</t>
  </si>
  <si>
    <t>Robotics Education for Middle School Students</t>
  </si>
  <si>
    <t>grants and awards</t>
  </si>
  <si>
    <t>Of, for, and by the people: the legal lacuna of synthetic persons</t>
  </si>
  <si>
    <t>Maryland Robotics Grant FY 2025</t>
  </si>
  <si>
    <t>TWC Youth Robotics Grants Encourage High School Students to ...</t>
  </si>
  <si>
    <t>North Middle School</t>
  </si>
  <si>
    <t>Robotics bill expands school grant eligibility, widens what funds can ...</t>
  </si>
  <si>
    <t>Penn Robotics Teams awarded grants from Indiana Department of ...</t>
  </si>
  <si>
    <t>OSET Grants - 99h - Robotics</t>
  </si>
  <si>
    <t>School Grants Fund Tigard High Robotics Program | The Foundation ...</t>
  </si>
  <si>
    <t>Girls Robotics Club Brings Out Leaders and Confidence ...</t>
  </si>
  <si>
    <t>first time stem grants</t>
  </si>
  <si>
    <t>Equity, Diversity, and Inclusion Initiatives and Grants - FIRST</t>
  </si>
  <si>
    <t>Five Outstanding Community Organizations Awarded STEM ... - FIRST</t>
  </si>
  <si>
    <t>FIRST | DoD STEM</t>
  </si>
  <si>
    <t>Top 68 First Generation Scholarships for Students in November ...</t>
  </si>
  <si>
    <t>STEM grants from AFCEA Hawaii available to educators for ...</t>
  </si>
  <si>
    <t>First-Time Home Buyer Programs: Explore 2024 Grants ... - Zillow</t>
  </si>
  <si>
    <t>Grants - FIRST in Texas</t>
  </si>
  <si>
    <t>STEM Opportunities - Department of Energy</t>
  </si>
  <si>
    <t>First-Time Home Buyer Grants For 2024 | 8 Grant Programs</t>
  </si>
  <si>
    <t>Free Grants and Programs for Small Business | CO- by US ...</t>
  </si>
  <si>
    <t>Login | STEM Research Grants</t>
  </si>
  <si>
    <t>STEM Grants - Miami Dade College</t>
  </si>
  <si>
    <t>STEM grants from AFCEA Hawaii available to educators for first time ...</t>
  </si>
  <si>
    <t>CE Grants – Idaho Commission for Libraries</t>
  </si>
  <si>
    <t>USC research spending surpasses $1 billion for the first time</t>
  </si>
  <si>
    <t>First-Time Students | Science and Engineering | University of ...</t>
  </si>
  <si>
    <t>Grant &amp; Funding Opportunities | Department of Education</t>
  </si>
  <si>
    <t>First-Time Freshmen Scholarships | South Dakota State University</t>
  </si>
  <si>
    <t>MALONE RECEIVES CHOOSE OHIO FIRST GRANT TO SUPPORT ...</t>
  </si>
  <si>
    <t>Age of Principal Investigators at the Time of First R01-Equivalent ...</t>
  </si>
  <si>
    <t>NOT-OD-23-032: Notice of Special Interest (NOSI): Administrative ...</t>
  </si>
  <si>
    <t>Comparison of National Institutes of Health Grant Amounts to First ...</t>
  </si>
  <si>
    <t>Scholarships | University of St. Thomas - Minnesota</t>
  </si>
  <si>
    <t>First-Year &amp; Transfer Scholarships: SUNY Brockport</t>
  </si>
  <si>
    <t>Scholarships: Northern Kentucky University, Greater Cincinnati Region</t>
  </si>
  <si>
    <t>Opportunities for Early-Career Researchers - Funding at NSF | NSF ...</t>
  </si>
  <si>
    <t>ESA First Time Applicant</t>
  </si>
  <si>
    <t>School Psychologist First Time</t>
  </si>
  <si>
    <t>School Occupational Therapist First Time</t>
  </si>
  <si>
    <t>NSF Graduate Research Fellowship Program (GRFP) | NSF ...</t>
  </si>
  <si>
    <t>First-Time Freshmen Scholarships | University of Nebraska at Kearney</t>
  </si>
  <si>
    <t>Scholarships and Grants – Caldwell University</t>
  </si>
  <si>
    <t>UIC exceeds half a billion dollars in research funding for first time ...</t>
  </si>
  <si>
    <t>Grants and Scholarships for Ohio College Students | Ohio.gov ...</t>
  </si>
  <si>
    <t>Scholarships &amp; Grants | Marietta College</t>
  </si>
  <si>
    <t>School Counselor First Time Applicant</t>
  </si>
  <si>
    <t>Information for First-Time Awardees - National Science Foundation</t>
  </si>
  <si>
    <t>Scholarships &amp; Grants | College of Saint Mary</t>
  </si>
  <si>
    <t>Scholarships | Regionals | Miami University</t>
  </si>
  <si>
    <t>Navigating Proposal Writing and Implementation of an NSF S-STEM ...</t>
  </si>
  <si>
    <t>Request a Change to Your Award - National Science Foundation</t>
  </si>
  <si>
    <t>First-Time MCC Student Scholarships</t>
  </si>
  <si>
    <t>Grants – UF Office of Student Financial Aid and Scholarships</t>
  </si>
  <si>
    <t>Scholarships - UTSA One Stop</t>
  </si>
  <si>
    <t>Scholarships - Erik Jonsson School of Engineering &amp; Computer ...</t>
  </si>
  <si>
    <t>Scholarships - Financial Aid - Montana's Premier STEM University</t>
  </si>
  <si>
    <t>First-Year Scholarships | Financial Aid | Wright State University</t>
  </si>
  <si>
    <t>Scholarships and Grants for SC Residents | CHE</t>
  </si>
  <si>
    <t>Choose Ohio First | The Ohio Department of Higher Education</t>
  </si>
  <si>
    <t>Scholarship ... - ADHE Scholarship Application Management System</t>
  </si>
  <si>
    <t>Recruitment of First-Time, Tenure-Track Faculty Members — Cancer ...</t>
  </si>
  <si>
    <t>Scholarships | University of Central Florida Office of Financial ...</t>
  </si>
  <si>
    <t>Discover Scholarships for Computer Science Majors</t>
  </si>
  <si>
    <t>Fairfax Futures is First-Time Grant Recipient of the ... - Fairfax Futures</t>
  </si>
  <si>
    <t>Scholarships and Grants | McMurry University</t>
  </si>
  <si>
    <t>Types of Aid - Admissions | Eckerd College</t>
  </si>
  <si>
    <t>America's Seed Fund – NSF SBIR/STTR | NSF SBIR</t>
  </si>
  <si>
    <t>Massachusetts High Demand Scholarship</t>
  </si>
  <si>
    <t>$1.3 million grant will expand support for STEM students | UAF news ...</t>
  </si>
  <si>
    <t>First time: How does food and drink normally work at international ...</t>
  </si>
  <si>
    <t>IHDA Awards $2.8 Million To Illinois First-Time Homebuyers Funds ...</t>
  </si>
  <si>
    <t>Scholarships - Black Hills State University</t>
  </si>
  <si>
    <t>First-Time Freshmen Scholarships | Western Kentucky University</t>
  </si>
  <si>
    <t>Admissions Scholarships</t>
  </si>
  <si>
    <t>Choose Ohio First : The University of Akron, Ohio</t>
  </si>
  <si>
    <t>Scholarships - Office of Financial Aid | The University of Texas at ...</t>
  </si>
  <si>
    <t>Grants and Scholarships · Financial Aid · Keene State College</t>
  </si>
  <si>
    <t>Scholarships | School of Computing</t>
  </si>
  <si>
    <t>New Student Scholarships and Aid Opportunities | Resources</t>
  </si>
  <si>
    <t>Financialaid | Scholarships - Shepherd University</t>
  </si>
  <si>
    <t>2025-2026 Scholarships &amp; Awards - Otterbein University</t>
  </si>
  <si>
    <t>Scholarships &amp; Grants | Grand View University</t>
  </si>
  <si>
    <t>First-Year Scholarship Opportunities | Fredonia.edu</t>
  </si>
  <si>
    <t>Work From Home</t>
  </si>
  <si>
    <t>www.gov.uk › guidance › find-government-grants
Find government grants - GOV.UK</t>
  </si>
  <si>
    <t>www.millenniumpoint.org.uk › stem-grants-2022
Applications for exciting STEM Grant Programme is now open</t>
  </si>
  <si>
    <t>www.allaboutstem.co.uk › resources › looking-for
Looking for STEM Funding? | All About STEMAll About STEM</t>
  </si>
  <si>
    <t>www.publicengagement.ac.uk › funding-opportunities
Funding Opportunities | NCCPE - public engagement</t>
  </si>
  <si>
    <t>www.iom3.org › award › stem-intervention-access
IOM3 | STEM Intervention Access Grants</t>
  </si>
  <si>
    <t>socalftc.org › grants
Grants - Southern California First Tech Challenge</t>
  </si>
  <si>
    <t>blogs.glowscotland.org.uk › glowblogs › public
STEM Grant and Funding Opportunities - LT Scotland</t>
  </si>
  <si>
    <t>www.instrumentl.com › stem-education-grants
STEM Education Grants in North Carolina | Instrumentl</t>
  </si>
  <si>
    <t>STEM Scholarships</t>
  </si>
  <si>
    <t>Free STEM Grant Writing Assistance - STEMfinity</t>
  </si>
  <si>
    <t>Top 10 Tips to Building a Successful STEM Grant Proposal</t>
  </si>
  <si>
    <t>STEM Minigrants – $1000 – awarded year-round – STEMgrants.com</t>
  </si>
  <si>
    <t>Getting Started - Funding at NSF</t>
  </si>
  <si>
    <t>IEEE PreU STEM Grants 2022: Accepting Applications!</t>
  </si>
  <si>
    <t>TEACH Grants | Federal Student Aid</t>
  </si>
  <si>
    <t>Pratt &amp; Whitney E-STEM Awards FAQs</t>
  </si>
  <si>
    <t>NSF 101: Funding opportunities for early career researchers | NSF ...</t>
  </si>
  <si>
    <t>Computer Science Professional Development Incentive Fund ...</t>
  </si>
  <si>
    <t>Expired NOT-OD-20-055: Notice of Special Interest (NOSI ...</t>
  </si>
  <si>
    <t>Manage Your Award | NSF - National Science Foundation</t>
  </si>
  <si>
    <t>Scholarships | Financial Aid | Miami Dade College</t>
  </si>
  <si>
    <t>Early Stage Investigator (ESI) Policies | Grants &amp; Funding</t>
  </si>
  <si>
    <t>Can financial aid help to address the growing need for STEM education? The effects of need‐based grants on the completion of science, technology, engineering, and …</t>
  </si>
  <si>
    <t>The Study of the Effectiveness of Scholarship Grant Program on Low-Income Engineering Technology Students.</t>
  </si>
  <si>
    <t>Performance funding policy impacts on STEM degree attainment</t>
  </si>
  <si>
    <t>Operation STEM: Increasing success and improving retention among mathematically underprepared students in STEM</t>
  </si>
  <si>
    <t>Research and trends in STEM education: a systematic analysis of publicly funded projects</t>
  </si>
  <si>
    <t>FirstSTEP: A preliminary review of the effects of a summer bridge program on pre-college STEM majors</t>
  </si>
  <si>
    <t>Retention-focused, S-STEM Supported Program</t>
  </si>
  <si>
    <t>Entering Research: A Course That Creates Community and Structure for Beginning Undergraduate Researchers in the STEM Disciplines</t>
  </si>
  <si>
    <t>Effect of a place-based learning community on belonging, persistence, and equity gaps for first-year STEM students</t>
  </si>
  <si>
    <t>Applying Project Management Skills to NSF ATE Funded Grants: A Roadmap to Success for First-time Grantees</t>
  </si>
  <si>
    <t>… of the multiple components of Acanthopanax Senticosus stem by ultra high performance liquid chromatography with quadrupole time‐of‐flight tandem mass …</t>
  </si>
  <si>
    <t>Cement-in-cement revision of the femoral stem: analysis of 1179 first-time revisions in the Swedish Hip Arthroplasty Register</t>
  </si>
  <si>
    <t>The changing career trajectories of new parents in STEM</t>
  </si>
  <si>
    <t>What is STEM education and why is it important</t>
  </si>
  <si>
    <t>STEM switching: Examining departures of undergraduate women in STEM fields</t>
  </si>
  <si>
    <t>NSF S-STEM Scholarship Grant for Engineering and Applied Technology Majors to Increase Enrollment and Retention</t>
  </si>
  <si>
    <t>Early Childhood STEM Ecosystem NSF Planning Grant</t>
  </si>
  <si>
    <t>Intensive chemotherapy and immunotherapy in patients with newly diagnosed primary CNS lymphoma: CALGB 50202 (Alliance 50202)</t>
  </si>
  <si>
    <t>… 264: Enhancing Sense of Belonging among Engineering and Artificial Intelligence Students: First Insights from the NSF S-STEM Grant in Community College</t>
  </si>
  <si>
    <t>Generation of endoderm‐derived human induced pluripotent stem cells from primary hepatocytes</t>
  </si>
  <si>
    <t>Closing the gaps and filling the STEM pipeline: A multidisciplinary approach</t>
  </si>
  <si>
    <t>Supporting first generation student success in STEM through a living learning community</t>
  </si>
  <si>
    <t>Transcriptional profiles of different states of cancer stem cells in triple-negative breast cancer</t>
  </si>
  <si>
    <t>Three Years of the Urban STEM Collaboratory</t>
  </si>
  <si>
    <t>stem grants for schools</t>
  </si>
  <si>
    <t>Canadian Grant &amp; Funding Opportunities - TeacherGeek</t>
  </si>
  <si>
    <t>Biden-Harris Administration Announces $277 Million In ...</t>
  </si>
  <si>
    <t>www.sciencecentres.org.uk › resources › stem-clubs
Selected funders and their grants - The Association for ...</t>
  </si>
  <si>
    <t>www.gov.ie › en › press-release
Minister for Education announces trebling of budget for STEM ...</t>
  </si>
  <si>
    <t>Afterschool Alliance – STEM Funding</t>
  </si>
  <si>
    <t>Science, Technology, Engineering, and Math, including Computer ...</t>
  </si>
  <si>
    <t>Access Funding Resources and STEM Grant Information - PLTW</t>
  </si>
  <si>
    <t>Grants for STEM Education | 2024 - ZipGrow Inc.</t>
  </si>
  <si>
    <t>STEM Education Grants in California - Instrumentl</t>
  </si>
  <si>
    <t>K-12 Catalyst Grants - Savannah River National Laboratory</t>
  </si>
  <si>
    <t>Effects of transferring to STEM-focused charter and magnet schools on student achievement</t>
  </si>
  <si>
    <t>Incentivizing STEM participation: Evidence from the SMART Grant Program</t>
  </si>
  <si>
    <t>High school opportunities for STEM: Comparing inclusive STEM‐focused and comprehensive high schools in two US cities</t>
  </si>
  <si>
    <t>Special schools and other options for gifted STEM students</t>
  </si>
  <si>
    <t>Science, technology, engineering, and mathematics (STEM) education issues and legislative options</t>
  </si>
  <si>
    <t>Boosting the numbers of STEM majors? The role of high schools with a STEM program</t>
  </si>
  <si>
    <t>Characteristics of schools successful in STEM: Evidence from two states' longitudinal data</t>
  </si>
  <si>
    <t>The impact of inclusive STEM high schools on student outcomes: A statewide longitudinal evaluation of Texas STEM academies</t>
  </si>
  <si>
    <t>External funding: Impact on promotion and retention of STEM assistant professors</t>
  </si>
  <si>
    <t>Implementation of STEM education policy: Challenges, progress, and lessons learned</t>
  </si>
  <si>
    <t>Barriers to collecting student participation and completion data for a national STEM education grant program in the United States: a multiple case study</t>
  </si>
  <si>
    <t>Experiential learning through STEM: Recent initiatives in the United States</t>
  </si>
  <si>
    <t>Perceived effects of scholarships on STEM majors' commitment to teaching in high need schools</t>
  </si>
  <si>
    <t>Student attitudes toward STEM: The development of upper elementary school and middle/high school student surveys</t>
  </si>
  <si>
    <t>Building a community of scholars: one University's story of students engaged in learning science, mathematics, and engineering through a NSF S-STEM grant</t>
  </si>
  <si>
    <t>The impact of inclusive STEM high schools on student achievement</t>
  </si>
  <si>
    <t>A state-by-state policy analysis of STEM education for K-12 public schools</t>
  </si>
  <si>
    <t>“If We Don't Have Diversity, There's No Future to See”: High‐school students' perceptions of race and gender representation in STEM</t>
  </si>
  <si>
    <t>stem grants for teachers</t>
  </si>
  <si>
    <t>Here Are the Top STEM Grants Available in 2024</t>
  </si>
  <si>
    <t>U.S. Department of Education Announces Grant Opportunities to ...</t>
  </si>
  <si>
    <t>Best Grants for Education - Tech &amp; Learning</t>
  </si>
  <si>
    <t>Grants for teachers - CORP-MAT1 (TEACH)</t>
  </si>
  <si>
    <t>www.gov.uk › government › news
Teachers to get up to £6000 extra to teach vital subjects</t>
  </si>
  <si>
    <t>10 Great Funding Resources for Science Teachers</t>
  </si>
  <si>
    <t>What Are STEM Grants and How to Discover Them? - PLTW</t>
  </si>
  <si>
    <t>Great teachers for STEM</t>
  </si>
  <si>
    <t>Recruitment and retention of STEM teachers through the Noyce Scholarship: A longitudinal mixed methods study</t>
  </si>
  <si>
    <t>University support of secondary STEM teachers through professional development</t>
  </si>
  <si>
    <t>Effective STEM teacher preparation, induction, and professional development</t>
  </si>
  <si>
    <t>The North Carolina Teaching Fellows Program: A Case Study of the Use of Forgivable Loans in Recruiting Future STEM Teachers.</t>
  </si>
  <si>
    <t>An exploratory study of STEM teachers' mentorship networks</t>
  </si>
  <si>
    <t>A tribute to 'unsung teachers': teachers' influences on students enrolling in STEM programs with the intent of entering STEM careers</t>
  </si>
  <si>
    <t>Impact of a Robert Noyce Scholarship on STEM teacher recruitment</t>
  </si>
  <si>
    <t>STEM TIPS: Supporting the beginning secondary STEM teacher</t>
  </si>
  <si>
    <t>Coaching teachers to implement innovations in STEM</t>
  </si>
  <si>
    <t>Preparing STEM teachers for K-12 classrooms: Graduate certificate evaluation and innovation</t>
  </si>
  <si>
    <t>Supporting middle school teachers' implementation of STEM design challenges</t>
  </si>
  <si>
    <t>Teachers' perceptions of rural STEM teaching: Implications for rural teacher retention.</t>
  </si>
  <si>
    <t>A sense of belonging: The role of higher education in retaining quality STEM teachers</t>
  </si>
  <si>
    <t>Localized Land-Grant Partnership for STEM Integration Through AFNR: High School Teachers' Experiences</t>
  </si>
  <si>
    <t>Learning after you know it all: When STEM faculty teach teachers, who learns?</t>
  </si>
  <si>
    <t>Program attributes for developing and supporting STEM teacher leaders</t>
  </si>
  <si>
    <t>Impacts of a research experiences for teachers program on rural STEM educators</t>
  </si>
  <si>
    <t>Preservice teachers' experiences of STEM integration: Challenges and implications for integrated STEM teacher preparation</t>
  </si>
  <si>
    <t>A path to recruiting more STEM teachers</t>
  </si>
  <si>
    <t>Impacts of STEM professional development on teachers' knowledge, self-efficacy, and practice</t>
  </si>
  <si>
    <t>Exploring opportunities for STEM teacher leadership: Summary of a convocation</t>
  </si>
  <si>
    <t>stem and robotics grants</t>
  </si>
  <si>
    <t>Robotics | NSF - National Science Foundation</t>
  </si>
  <si>
    <t>Making STEM Education Accessible To All - India STEM Foundation</t>
  </si>
  <si>
    <t>Robotics Grant – Apply Today | NSF SBIR</t>
  </si>
  <si>
    <t>STEM Organizations | Grants &amp; Support | Michigan STEM Partnership</t>
  </si>
  <si>
    <t>education.theiet.org › support › funding
Funding - Institution of Engineering and Technology</t>
  </si>
  <si>
    <t>138#10s (DOE/ DAPE) STEM Robotics Grant Fund (SB 246). SB30</t>
  </si>
  <si>
    <t>View Grant Opportunity - Search Results Detail | Grants.gov</t>
  </si>
  <si>
    <t>Funding - Wonder Workshop</t>
  </si>
  <si>
    <t>Creating research opportunities with robotics across the undergraduate STEM curricula</t>
  </si>
  <si>
    <t>ENHANCING SCIENCE, TECHNOLOGY, ENGINEERING AND MATHEMATICS (STEM) INSTRUCTION THROUGH ROBOTICS IN NATIVE AMERICAN HIGH …</t>
  </si>
  <si>
    <t>Making STEM accessible and effective through NASA robotics programs</t>
  </si>
  <si>
    <t>Robotics camps, clubs, and competitions: Results from a US robotics project</t>
  </si>
  <si>
    <t>Learning to be a Real Engineer: Service Learning Engagement and STEM Education in Space Grant Programs</t>
  </si>
  <si>
    <t>AfrikaBot: Design of a robotics challenge to promote STEM in Africa</t>
  </si>
  <si>
    <t>Do after-school robotics programs expand the pipeline into STEM majors in college?</t>
  </si>
  <si>
    <t>The impact of educational robotics on student STEM learning, attitudes, and workplace skills</t>
  </si>
  <si>
    <t>The next chapter in the STEM education narrative: Using robotics to support programming and coding.</t>
  </si>
  <si>
    <t>Drone Labs to promote interest in science, technology, engineering, and mathematics (STEM)</t>
  </si>
  <si>
    <t>Engaging students in stem learning through co-robotic hands-on activities (evaluation)</t>
  </si>
  <si>
    <t>Fundamental: Optimizing a teacher professional development program for teaching STEM with robotics through design-based research</t>
  </si>
  <si>
    <t>Using robotics and game design to enhance children's self-efficacy, STEM attitudes, and computational thinking skills</t>
  </si>
  <si>
    <t>RoboCup Junior in the Hunter region: driving the future of robotic STEM education</t>
  </si>
  <si>
    <t>The importance of grant funding for growing engagement in ethical engineering education</t>
  </si>
  <si>
    <t>Parthenogenetic stem cells in nonhuman primates</t>
  </si>
  <si>
    <t>EUREKA STEM Robotics and Artificial Intelligence Initiatives in Wales</t>
  </si>
  <si>
    <t>A multi-case study of student interactions with educational robots and impact on Science, Technology, Engineering, and Math (STEM) learning and attitudes</t>
  </si>
  <si>
    <t>Nonhuman primate parthenogenetic stem cells</t>
  </si>
  <si>
    <t>eSMAC: an Affordable Modular Robotic Kit for Integrated STEM Education</t>
  </si>
  <si>
    <t>SE</t>
  </si>
  <si>
    <t>MSI</t>
  </si>
  <si>
    <t>KW</t>
  </si>
  <si>
    <t>ST</t>
  </si>
  <si>
    <t>PC</t>
  </si>
  <si>
    <t>SR</t>
  </si>
  <si>
    <t>SF</t>
  </si>
  <si>
    <t>LOT</t>
  </si>
  <si>
    <t>44s</t>
  </si>
  <si>
    <t>65s</t>
  </si>
  <si>
    <t>57s</t>
  </si>
  <si>
    <t>72s</t>
  </si>
  <si>
    <t>122s</t>
  </si>
  <si>
    <t>90s</t>
  </si>
  <si>
    <t>87s</t>
  </si>
  <si>
    <t>91s</t>
  </si>
  <si>
    <t>89s</t>
  </si>
  <si>
    <t>49s</t>
  </si>
  <si>
    <t>brave</t>
  </si>
  <si>
    <t>71s</t>
  </si>
  <si>
    <t>147s</t>
  </si>
  <si>
    <t>94s</t>
  </si>
  <si>
    <t>100s</t>
  </si>
  <si>
    <t>60s</t>
  </si>
  <si>
    <t>114s</t>
  </si>
  <si>
    <t>186s</t>
  </si>
  <si>
    <t>39s</t>
  </si>
  <si>
    <t>48s</t>
  </si>
  <si>
    <t>56s</t>
  </si>
  <si>
    <t>21s</t>
  </si>
  <si>
    <t>23s</t>
  </si>
  <si>
    <t>29s</t>
  </si>
  <si>
    <t>58s</t>
  </si>
  <si>
    <t>33s</t>
  </si>
  <si>
    <t>67s</t>
  </si>
  <si>
    <t>81s</t>
  </si>
  <si>
    <t>45s</t>
  </si>
  <si>
    <t>55s</t>
  </si>
  <si>
    <t>54s</t>
  </si>
  <si>
    <t>53s</t>
  </si>
  <si>
    <t>52s</t>
  </si>
  <si>
    <t>27s</t>
  </si>
  <si>
    <t>25s</t>
  </si>
  <si>
    <t>61s</t>
  </si>
  <si>
    <t>18s</t>
  </si>
  <si>
    <t>75s</t>
  </si>
  <si>
    <t>77s</t>
  </si>
  <si>
    <t>121s</t>
  </si>
  <si>
    <t>97s</t>
  </si>
  <si>
    <t>95s</t>
  </si>
  <si>
    <t>108s</t>
  </si>
  <si>
    <t>40s</t>
  </si>
  <si>
    <t>103s</t>
  </si>
  <si>
    <t>69s</t>
  </si>
  <si>
    <t>76s</t>
  </si>
  <si>
    <t>165s</t>
  </si>
  <si>
    <t>314s</t>
  </si>
  <si>
    <t>99s</t>
  </si>
  <si>
    <t>43s</t>
  </si>
  <si>
    <t>35s</t>
  </si>
  <si>
    <t>92s</t>
  </si>
  <si>
    <t>32s</t>
  </si>
  <si>
    <t>62s</t>
  </si>
  <si>
    <t>84s</t>
  </si>
  <si>
    <t>185s</t>
  </si>
  <si>
    <t>38s</t>
  </si>
  <si>
    <t>163s</t>
  </si>
  <si>
    <t>66s</t>
  </si>
  <si>
    <t>176s</t>
  </si>
  <si>
    <t>70s</t>
  </si>
  <si>
    <t>73s</t>
  </si>
  <si>
    <t>19s</t>
  </si>
  <si>
    <t>28s</t>
  </si>
  <si>
    <t>112s</t>
  </si>
  <si>
    <t>152s</t>
  </si>
  <si>
    <t>188s</t>
  </si>
  <si>
    <t>79s</t>
  </si>
  <si>
    <t>15s</t>
  </si>
  <si>
    <t>83s</t>
  </si>
  <si>
    <t>22s</t>
  </si>
  <si>
    <t>461s</t>
  </si>
  <si>
    <t>222s</t>
  </si>
  <si>
    <t>125s</t>
  </si>
  <si>
    <t>111s</t>
  </si>
  <si>
    <t>34s</t>
  </si>
  <si>
    <t>116s</t>
  </si>
  <si>
    <t>82s</t>
  </si>
  <si>
    <t>146s</t>
  </si>
  <si>
    <t>375s</t>
  </si>
  <si>
    <t>41s</t>
  </si>
  <si>
    <t>98s</t>
  </si>
  <si>
    <t>59s</t>
  </si>
  <si>
    <t>31s</t>
  </si>
  <si>
    <t>96s</t>
  </si>
  <si>
    <t>189s</t>
  </si>
  <si>
    <t>51s</t>
  </si>
  <si>
    <t>68s</t>
  </si>
  <si>
    <t>138s</t>
  </si>
  <si>
    <t>37s</t>
  </si>
  <si>
    <t>80s</t>
  </si>
  <si>
    <t>133s</t>
  </si>
  <si>
    <t>117s</t>
  </si>
  <si>
    <t>224s</t>
  </si>
  <si>
    <t>106s</t>
  </si>
  <si>
    <t>154s</t>
  </si>
  <si>
    <t>159s</t>
  </si>
  <si>
    <t>213s</t>
  </si>
  <si>
    <t>47s</t>
  </si>
  <si>
    <t>50s</t>
  </si>
  <si>
    <t>107s</t>
  </si>
  <si>
    <t>85s</t>
  </si>
  <si>
    <t>167s</t>
  </si>
  <si>
    <t>220s</t>
  </si>
  <si>
    <t>275s</t>
  </si>
  <si>
    <t>115s</t>
  </si>
  <si>
    <t>124s</t>
  </si>
  <si>
    <t>149s</t>
  </si>
  <si>
    <t>118s</t>
  </si>
  <si>
    <t>64s</t>
  </si>
  <si>
    <t>16s</t>
  </si>
  <si>
    <t>174s</t>
  </si>
  <si>
    <t>123s</t>
  </si>
  <si>
    <t>168s</t>
  </si>
  <si>
    <t>145s</t>
  </si>
  <si>
    <t>205s</t>
  </si>
  <si>
    <t>63s</t>
  </si>
  <si>
    <t>30s</t>
  </si>
  <si>
    <t>36s</t>
  </si>
  <si>
    <t>120s</t>
  </si>
  <si>
    <t>128s</t>
  </si>
  <si>
    <t>129s</t>
  </si>
  <si>
    <t>243s</t>
  </si>
  <si>
    <t>132s</t>
  </si>
  <si>
    <t>26s</t>
  </si>
  <si>
    <t>88s</t>
  </si>
  <si>
    <t>119s</t>
  </si>
  <si>
    <t>217s</t>
  </si>
  <si>
    <t>170s</t>
  </si>
  <si>
    <t>157s</t>
  </si>
  <si>
    <t>182s</t>
  </si>
  <si>
    <t>126s</t>
  </si>
  <si>
    <t>193s</t>
  </si>
  <si>
    <t>327s</t>
  </si>
  <si>
    <t>24s</t>
  </si>
  <si>
    <t>74s</t>
  </si>
  <si>
    <t>158s</t>
  </si>
  <si>
    <t>131s</t>
  </si>
  <si>
    <t>127s</t>
  </si>
  <si>
    <t>42s</t>
  </si>
  <si>
    <t>156s</t>
  </si>
  <si>
    <t>171s</t>
  </si>
  <si>
    <t>178s</t>
  </si>
  <si>
    <t>198s</t>
  </si>
  <si>
    <t>105s</t>
  </si>
  <si>
    <t>256s</t>
  </si>
  <si>
    <t>86s</t>
  </si>
  <si>
    <t>187s</t>
  </si>
  <si>
    <t>46s</t>
  </si>
  <si>
    <t>130s</t>
  </si>
  <si>
    <t>175s</t>
  </si>
  <si>
    <t>173s</t>
  </si>
  <si>
    <t>113s</t>
  </si>
  <si>
    <t>78s</t>
  </si>
  <si>
    <t>162s</t>
  </si>
  <si>
    <t>20s</t>
  </si>
  <si>
    <t>110s</t>
  </si>
  <si>
    <t>160s</t>
  </si>
  <si>
    <t>181s</t>
  </si>
  <si>
    <t>109s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</si>
</sst>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42"/>
  <sheetViews>
    <sheetView tabSelected="1" topLeftCell="A517" workbookViewId="0">
      <selection activeCell="D4" sqref="D4"/>
    </sheetView>
  </sheetViews>
  <sheetFormatPr defaultRowHeight="15" x14ac:dyDescent="0.25"/>
  <cols>
    <col min="2" max="2" width="22.140625" customWidth="1"/>
    <col min="3" max="3" width="122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104</v>
      </c>
      <c r="B2" t="s">
        <v>369</v>
      </c>
      <c r="C2" t="s">
        <v>428</v>
      </c>
      <c r="D2" t="str">
        <f>HYPERLINK("https://www.uaf.edu/news/archives/news-archives-2010-2021/1-3-million-grant-will-expand-support-for-stem-students.php","https://www.uaf.edu/news/archives/news-archives-2010-2021/1-3-million-grant-will-expand-support-for-stem-students.php")</f>
        <v>https://www.uaf.edu/news/archives/news-archives-2010-2021/1-3-million-grant-will-expand-support-for-stem-students.php</v>
      </c>
    </row>
    <row r="3" spans="1:4" x14ac:dyDescent="0.25">
      <c r="A3" t="s">
        <v>104</v>
      </c>
      <c r="B3" t="s">
        <v>369</v>
      </c>
      <c r="C3" t="s">
        <v>484</v>
      </c>
      <c r="D3" t="str">
        <f>HYPERLINK("https://peer.asee.org/board-264-enhancing-sense-of-belonging-among-engineering-and-artificial-intelligence-students-first-insights-from-the-nsf-s-stem-grant-in-community-college","https://peer.asee.org/board-264-enhancing-sense-of-belonging-among-engineering-and-artificial-intelligence-students-first-insights-from-the-nsf-s-stem-grant-in-community-college")</f>
        <v>https://peer.asee.org/board-264-enhancing-sense-of-belonging-among-engineering-and-artificial-intelligence-students-first-insights-from-the-nsf-s-stem-grant-in-community-college</v>
      </c>
    </row>
    <row r="4" spans="1:4" x14ac:dyDescent="0.25">
      <c r="A4" t="s">
        <v>104</v>
      </c>
      <c r="B4" t="s">
        <v>369</v>
      </c>
      <c r="C4" t="s">
        <v>476</v>
      </c>
      <c r="D4" t="str">
        <f>HYPERLINK("https://analyticalsciencejournals.onlinelibrary.wiley.com/doi/abs/10.1002/jssc.201500915","https://analyticalsciencejournals.onlinelibrary.wiley.com/doi/abs/10.1002/jssc.201500915")</f>
        <v>https://analyticalsciencejournals.onlinelibrary.wiley.com/doi/abs/10.1002/jssc.201500915</v>
      </c>
    </row>
    <row r="5" spans="1:4" x14ac:dyDescent="0.25">
      <c r="A5" t="s">
        <v>104</v>
      </c>
      <c r="B5" t="s">
        <v>369</v>
      </c>
      <c r="C5" t="s">
        <v>26</v>
      </c>
      <c r="D5" t="str">
        <f>HYPERLINK("https://www.societyforscience.org/outreach-and-equity/stem-action-grants/2023-stem-action-grantees/","https://www.societyforscience.org/outreach-and-equity/stem-action-grants/2023-stem-action-grantees/")</f>
        <v>https://www.societyforscience.org/outreach-and-equity/stem-action-grants/2023-stem-action-grantees/</v>
      </c>
    </row>
    <row r="6" spans="1:4" x14ac:dyDescent="0.25">
      <c r="A6" t="s">
        <v>104</v>
      </c>
      <c r="B6" t="s">
        <v>369</v>
      </c>
      <c r="C6" t="s">
        <v>49</v>
      </c>
      <c r="D6" t="str">
        <f>HYPERLINK("https://info.firstinspires.org/seci-grant-details","https://info.firstinspires.org/seci-grant-details")</f>
        <v>https://info.firstinspires.org/seci-grant-details</v>
      </c>
    </row>
    <row r="7" spans="1:4" x14ac:dyDescent="0.25">
      <c r="A7" t="s">
        <v>104</v>
      </c>
      <c r="B7" t="s">
        <v>369</v>
      </c>
      <c r="C7" t="s">
        <v>440</v>
      </c>
      <c r="D7" t="str">
        <f>HYPERLINK("https://www.otterbein.edu/financial-aid/scholarships/","https://www.otterbein.edu/financial-aid/scholarships/")</f>
        <v>https://www.otterbein.edu/financial-aid/scholarships/</v>
      </c>
    </row>
    <row r="8" spans="1:4" x14ac:dyDescent="0.25">
      <c r="A8" t="s">
        <v>104</v>
      </c>
      <c r="B8" t="s">
        <v>369</v>
      </c>
      <c r="C8" t="s">
        <v>433</v>
      </c>
      <c r="D8" t="str">
        <f>HYPERLINK("https://www.uncfsu.edu/admission-and-aid/undergraduate-admissions/admissions-scholarships","https://www.uncfsu.edu/admission-and-aid/undergraduate-admissions/admissions-scholarships")</f>
        <v>https://www.uncfsu.edu/admission-and-aid/undergraduate-admissions/admissions-scholarships</v>
      </c>
    </row>
    <row r="9" spans="1:4" x14ac:dyDescent="0.25">
      <c r="A9" t="s">
        <v>104</v>
      </c>
      <c r="B9" t="s">
        <v>369</v>
      </c>
      <c r="C9" t="s">
        <v>389</v>
      </c>
      <c r="D9" t="str">
        <f>HYPERLINK("https://nexus.od.nih.gov/all/2024/05/06/age-of-principal-investigators-at-the-time-of-first-r01-remains-level-with-recent-years-in-fy-2023/","https://nexus.od.nih.gov/all/2024/05/06/age-of-principal-investigators-at-the-time-of-first-r01-remains-level-with-recent-years-in-fy-2023/")</f>
        <v>https://nexus.od.nih.gov/all/2024/05/06/age-of-principal-investigators-at-the-time-of-first-r01-remains-level-with-recent-years-in-fy-2023/</v>
      </c>
    </row>
    <row r="10" spans="1:4" x14ac:dyDescent="0.25">
      <c r="A10" t="s">
        <v>104</v>
      </c>
      <c r="B10" t="s">
        <v>369</v>
      </c>
      <c r="C10" t="s">
        <v>426</v>
      </c>
      <c r="D10" t="str">
        <f>HYPERLINK("https://seedfund.nsf.gov/","https://seedfund.nsf.gov/")</f>
        <v>https://seedfund.nsf.gov/</v>
      </c>
    </row>
    <row r="11" spans="1:4" x14ac:dyDescent="0.25">
      <c r="A11" t="s">
        <v>104</v>
      </c>
      <c r="B11" t="s">
        <v>369</v>
      </c>
      <c r="C11" t="s">
        <v>475</v>
      </c>
      <c r="D11" t="str">
        <f>HYPERLINK("https://peer.asee.org/46593.pdf","https://peer.asee.org/46593.pdf")</f>
        <v>https://peer.asee.org/46593.pdf</v>
      </c>
    </row>
    <row r="12" spans="1:4" x14ac:dyDescent="0.25">
      <c r="A12" t="s">
        <v>104</v>
      </c>
      <c r="B12" t="s">
        <v>369</v>
      </c>
      <c r="C12" t="s">
        <v>450</v>
      </c>
      <c r="D12" t="str">
        <f>HYPERLINK("https://blogs.glowscotland.org.uk/glowblogs/public/STEMcentralinmotion/uploads/sites/1544/2023/03/30215847/STEM-Grants-and-Funding-April-2023.pdf","https://blogs.glowscotland.org.uk/glowblogs/public/STEMcentralinmotion/uploads/sites/1544/2023/03/30215847/STEM-Grants-and-Funding-April-2023.pdf")</f>
        <v>https://blogs.glowscotland.org.uk/glowblogs/public/STEMcentralinmotion/uploads/sites/1544/2023/03/30215847/STEM-Grants-and-Funding-April-2023.pdf</v>
      </c>
    </row>
    <row r="13" spans="1:4" x14ac:dyDescent="0.25">
      <c r="A13" t="s">
        <v>104</v>
      </c>
      <c r="B13" t="s">
        <v>369</v>
      </c>
      <c r="C13" t="s">
        <v>466</v>
      </c>
      <c r="D13" t="str">
        <f>HYPERLINK("https://onlinelibrary.wiley.com/doi/abs/10.1002/pam.22039","https://onlinelibrary.wiley.com/doi/abs/10.1002/pam.22039")</f>
        <v>https://onlinelibrary.wiley.com/doi/abs/10.1002/pam.22039</v>
      </c>
    </row>
    <row r="14" spans="1:4" x14ac:dyDescent="0.25">
      <c r="A14" t="s">
        <v>104</v>
      </c>
      <c r="B14" t="s">
        <v>369</v>
      </c>
      <c r="C14" t="s">
        <v>383</v>
      </c>
      <c r="D14" t="str">
        <f>HYPERLINK("https://libraries.idaho.gov/continuing-education/ce-grants/","https://libraries.idaho.gov/continuing-education/ce-grants/")</f>
        <v>https://libraries.idaho.gov/continuing-education/ce-grants/</v>
      </c>
    </row>
    <row r="15" spans="1:4" x14ac:dyDescent="0.25">
      <c r="A15" t="s">
        <v>104</v>
      </c>
      <c r="B15" t="s">
        <v>369</v>
      </c>
      <c r="C15" t="s">
        <v>477</v>
      </c>
      <c r="D15" t="str">
        <f>HYPERLINK("https://boneandjoint.org.uk/article/10.1302/0301-620x.99b4.bjj-2016-1222.r1","https://boneandjoint.org.uk/article/10.1302/0301-620x.99b4.bjj-2016-1222.r1")</f>
        <v>https://boneandjoint.org.uk/article/10.1302/0301-620x.99b4.bjj-2016-1222.r1</v>
      </c>
    </row>
    <row r="16" spans="1:4" x14ac:dyDescent="0.25">
      <c r="A16" t="s">
        <v>104</v>
      </c>
      <c r="B16" t="s">
        <v>369</v>
      </c>
      <c r="C16" t="s">
        <v>434</v>
      </c>
      <c r="D16" t="str">
        <f>HYPERLINK("https://www.uakron.edu/oars/cof","https://www.uakron.edu/oars/cof")</f>
        <v>https://www.uakron.edu/oars/cof</v>
      </c>
    </row>
    <row r="17" spans="1:4" x14ac:dyDescent="0.25">
      <c r="A17" t="s">
        <v>104</v>
      </c>
      <c r="B17" t="s">
        <v>369</v>
      </c>
      <c r="C17" t="s">
        <v>418</v>
      </c>
      <c r="D17" t="str">
        <f>HYPERLINK("https://highered.ohio.gov/initiatives/affordability/choose-ohio-first","https://highered.ohio.gov/initiatives/affordability/choose-ohio-first")</f>
        <v>https://highered.ohio.gov/initiatives/affordability/choose-ohio-first</v>
      </c>
    </row>
    <row r="18" spans="1:4" x14ac:dyDescent="0.25">
      <c r="A18" t="s">
        <v>104</v>
      </c>
      <c r="B18" t="s">
        <v>369</v>
      </c>
      <c r="C18" t="s">
        <v>486</v>
      </c>
      <c r="D18" t="str">
        <f>HYPERLINK("https://link.springer.com/article/10.1007/s10956-016-9622-8","https://link.springer.com/article/10.1007/s10956-016-9622-8")</f>
        <v>https://link.springer.com/article/10.1007/s10956-016-9622-8</v>
      </c>
    </row>
    <row r="19" spans="1:4" x14ac:dyDescent="0.25">
      <c r="A19" t="s">
        <v>104</v>
      </c>
      <c r="B19" t="s">
        <v>369</v>
      </c>
      <c r="C19" t="s">
        <v>391</v>
      </c>
      <c r="D19" t="str">
        <f>HYPERLINK("https://jamanetwork.com/journals/jama/fullarticle/2726973","https://jamanetwork.com/journals/jama/fullarticle/2726973")</f>
        <v>https://jamanetwork.com/journals/jama/fullarticle/2726973</v>
      </c>
    </row>
    <row r="20" spans="1:4" x14ac:dyDescent="0.25">
      <c r="A20" t="s">
        <v>104</v>
      </c>
      <c r="B20" t="s">
        <v>369</v>
      </c>
      <c r="C20" t="s">
        <v>461</v>
      </c>
      <c r="D20" t="str">
        <f>HYPERLINK("https://educate.iowa.gov/pk-12/standards/instruction/computer-science/professional-development-fund","https://educate.iowa.gov/pk-12/standards/instruction/computer-science/professional-development-fund")</f>
        <v>https://educate.iowa.gov/pk-12/standards/instruction/computer-science/professional-development-fund</v>
      </c>
    </row>
    <row r="21" spans="1:4" x14ac:dyDescent="0.25">
      <c r="A21" t="s">
        <v>104</v>
      </c>
      <c r="B21" t="s">
        <v>369</v>
      </c>
      <c r="C21" t="s">
        <v>422</v>
      </c>
      <c r="D21" t="str">
        <f>HYPERLINK("https://www.computerscience.org/scholarships-overview/","https://www.computerscience.org/scholarships-overview/")</f>
        <v>https://www.computerscience.org/scholarships-overview/</v>
      </c>
    </row>
    <row r="22" spans="1:4" x14ac:dyDescent="0.25">
      <c r="A22" t="s">
        <v>104</v>
      </c>
      <c r="B22" t="s">
        <v>369</v>
      </c>
      <c r="C22" t="s">
        <v>482</v>
      </c>
      <c r="D22" t="str">
        <f>HYPERLINK("https://archive.informalscience.org/sites/default/files/ECOSTEM%20Planning%20Grant%20Eval%20Report%20August%202019%20Final%208-31-19.pdf","https://archive.informalscience.org/sites/default/files/ECOSTEM%20Planning%20Grant%20Eval%20Report%20August%202019%20Final%208-31-19.pdf")</f>
        <v>https://archive.informalscience.org/sites/default/files/ECOSTEM%20Planning%20Grant%20Eval%20Report%20August%202019%20Final%208-31-19.pdf</v>
      </c>
    </row>
    <row r="23" spans="1:4" x14ac:dyDescent="0.25">
      <c r="A23" t="s">
        <v>104</v>
      </c>
      <c r="B23" t="s">
        <v>369</v>
      </c>
      <c r="C23" t="s">
        <v>465</v>
      </c>
      <c r="D23" t="str">
        <f>HYPERLINK("https://grants.nih.gov/policy-and-compliance/policy-topics/early-stage-investigators","https://grants.nih.gov/policy-and-compliance/policy-topics/early-stage-investigators")</f>
        <v>https://grants.nih.gov/policy-and-compliance/policy-topics/early-stage-investigators</v>
      </c>
    </row>
    <row r="24" spans="1:4" x14ac:dyDescent="0.25">
      <c r="A24" t="s">
        <v>104</v>
      </c>
      <c r="B24" t="s">
        <v>369</v>
      </c>
      <c r="C24" t="s">
        <v>474</v>
      </c>
      <c r="D24" t="str">
        <f>HYPERLINK("https://link.springer.com/article/10.1007/s10755-020-09519-5","https://link.springer.com/article/10.1007/s10755-020-09519-5")</f>
        <v>https://link.springer.com/article/10.1007/s10755-020-09519-5</v>
      </c>
    </row>
    <row r="25" spans="1:4" x14ac:dyDescent="0.25">
      <c r="A25" t="s">
        <v>104</v>
      </c>
      <c r="B25" t="s">
        <v>369</v>
      </c>
      <c r="C25" t="s">
        <v>473</v>
      </c>
      <c r="D25" t="str">
        <f>HYPERLINK("https://www.lifescied.org/doi/abs/10.1187/cbe.09-10-0073","https://www.lifescied.org/doi/abs/10.1187/cbe.09-10-0073")</f>
        <v>https://www.lifescied.org/doi/abs/10.1187/cbe.09-10-0073</v>
      </c>
    </row>
    <row r="26" spans="1:4" x14ac:dyDescent="0.25">
      <c r="A26" t="s">
        <v>104</v>
      </c>
      <c r="B26" t="s">
        <v>369</v>
      </c>
      <c r="C26" t="s">
        <v>370</v>
      </c>
      <c r="D26" t="str">
        <f>HYPERLINK("https://www.firstinspires.org/diversityinclusion/initiatives-grants","https://www.firstinspires.org/diversityinclusion/initiatives-grants")</f>
        <v>https://www.firstinspires.org/diversityinclusion/initiatives-grants</v>
      </c>
    </row>
    <row r="27" spans="1:4" x14ac:dyDescent="0.25">
      <c r="A27" t="s">
        <v>104</v>
      </c>
      <c r="B27" t="s">
        <v>369</v>
      </c>
      <c r="C27" t="s">
        <v>396</v>
      </c>
      <c r="D27" t="str">
        <f>HYPERLINK("https://ospi.k12.wa.us/certification/educational-staff-associate-esa-certificates/esa-first-time-applicant","https://ospi.k12.wa.us/certification/educational-staff-associate-esa-certificates/esa-first-time-applicant")</f>
        <v>https://ospi.k12.wa.us/certification/educational-staff-associate-esa-certificates/esa-first-time-applicant</v>
      </c>
    </row>
    <row r="28" spans="1:4" x14ac:dyDescent="0.25">
      <c r="A28" t="s">
        <v>104</v>
      </c>
      <c r="B28" t="s">
        <v>369</v>
      </c>
      <c r="C28" t="s">
        <v>462</v>
      </c>
      <c r="D28" t="str">
        <f>HYPERLINK("https://grants.nih.gov/grants/guide/notice-files/NOT-OD-20-055.html","https://grants.nih.gov/grants/guide/notice-files/NOT-OD-20-055.html")</f>
        <v>https://grants.nih.gov/grants/guide/notice-files/NOT-OD-20-055.html</v>
      </c>
    </row>
    <row r="29" spans="1:4" x14ac:dyDescent="0.25">
      <c r="A29" t="s">
        <v>104</v>
      </c>
      <c r="B29" t="s">
        <v>369</v>
      </c>
      <c r="C29" t="s">
        <v>423</v>
      </c>
      <c r="D29" t="str">
        <f>HYPERLINK("https://fairfax-futures.org/fairfax-futures-is-first-time-grant-recipient-of-the-cloudbreak-foundation.html","https://fairfax-futures.org/fairfax-futures-is-first-time-grant-recipient-of-the-cloudbreak-foundation.html")</f>
        <v>https://fairfax-futures.org/fairfax-futures-is-first-time-grant-recipient-of-the-cloudbreak-foundation.html</v>
      </c>
    </row>
    <row r="30" spans="1:4" x14ac:dyDescent="0.25">
      <c r="A30" t="s">
        <v>104</v>
      </c>
      <c r="B30" t="s">
        <v>369</v>
      </c>
      <c r="C30" t="s">
        <v>439</v>
      </c>
      <c r="D30" t="str">
        <f>HYPERLINK("https://www.shepherd.edu/financialaid/scholarships","https://www.shepherd.edu/financialaid/scholarships")</f>
        <v>https://www.shepherd.edu/financialaid/scholarships</v>
      </c>
    </row>
    <row r="31" spans="1:4" x14ac:dyDescent="0.25">
      <c r="A31" t="s">
        <v>104</v>
      </c>
      <c r="B31" t="s">
        <v>369</v>
      </c>
      <c r="C31" t="s">
        <v>372</v>
      </c>
      <c r="D31" t="str">
        <f>HYPERLINK("https://dodstem.us/first/","https://dodstem.us/first/")</f>
        <v>https://dodstem.us/first/</v>
      </c>
    </row>
    <row r="32" spans="1:4" x14ac:dyDescent="0.25">
      <c r="A32" t="s">
        <v>104</v>
      </c>
      <c r="B32" t="s">
        <v>369</v>
      </c>
      <c r="C32" t="s">
        <v>429</v>
      </c>
      <c r="D32" t="str">
        <f>HYPERLINK("https://www.reddit.com/r/AskAcademia/comments/ui34a0/first_time_how_does_food_and_drink_normally_work/","https://www.reddit.com/r/AskAcademia/comments/ui34a0/first_time_how_does_food_and_drink_normally_work/")</f>
        <v>https://www.reddit.com/r/AskAcademia/comments/ui34a0/first_time_how_does_food_and_drink_normally_work/</v>
      </c>
    </row>
    <row r="33" spans="1:4" x14ac:dyDescent="0.25">
      <c r="A33" t="s">
        <v>104</v>
      </c>
      <c r="B33" t="s">
        <v>369</v>
      </c>
      <c r="C33" t="s">
        <v>471</v>
      </c>
      <c r="D33" t="str">
        <f>HYPERLINK("https://www.jstem.org/jstem/index.php/JSTEM/article/view/1682","https://www.jstem.org/jstem/index.php/JSTEM/article/view/1682")</f>
        <v>https://www.jstem.org/jstem/index.php/JSTEM/article/view/1682</v>
      </c>
    </row>
    <row r="34" spans="1:4" x14ac:dyDescent="0.25">
      <c r="A34" t="s">
        <v>104</v>
      </c>
      <c r="B34" t="s">
        <v>369</v>
      </c>
      <c r="C34" t="s">
        <v>387</v>
      </c>
      <c r="D34" t="str">
        <f>HYPERLINK("https://www.sdstate.edu/admissions/first-time-freshmen-scholarships","https://www.sdstate.edu/admissions/first-time-freshmen-scholarships")</f>
        <v>https://www.sdstate.edu/admissions/first-time-freshmen-scholarships</v>
      </c>
    </row>
    <row r="35" spans="1:4" x14ac:dyDescent="0.25">
      <c r="A35" t="s">
        <v>104</v>
      </c>
      <c r="B35" t="s">
        <v>369</v>
      </c>
      <c r="C35" t="s">
        <v>400</v>
      </c>
      <c r="D35" t="str">
        <f>HYPERLINK("https://www.unk.edu/first-time-freshmen-scholarships.php","https://www.unk.edu/first-time-freshmen-scholarships.php")</f>
        <v>https://www.unk.edu/first-time-freshmen-scholarships.php</v>
      </c>
    </row>
    <row r="36" spans="1:4" x14ac:dyDescent="0.25">
      <c r="A36" t="s">
        <v>104</v>
      </c>
      <c r="B36" t="s">
        <v>369</v>
      </c>
      <c r="C36" t="s">
        <v>432</v>
      </c>
      <c r="D36" t="str">
        <f>HYPERLINK("https://www.wku.edu/financialaid/scholarships/freshmen.php","https://www.wku.edu/financialaid/scholarships/freshmen.php")</f>
        <v>https://www.wku.edu/financialaid/scholarships/freshmen.php</v>
      </c>
    </row>
    <row r="37" spans="1:4" x14ac:dyDescent="0.25">
      <c r="A37" t="s">
        <v>104</v>
      </c>
      <c r="B37" t="s">
        <v>369</v>
      </c>
      <c r="C37" t="s">
        <v>378</v>
      </c>
      <c r="D37" t="str">
        <f>HYPERLINK("https://themortgagereports.com/97630/first-time-home-buyer-grants","https://themortgagereports.com/97630/first-time-home-buyer-grants")</f>
        <v>https://themortgagereports.com/97630/first-time-home-buyer-grants</v>
      </c>
    </row>
    <row r="38" spans="1:4" x14ac:dyDescent="0.25">
      <c r="A38" t="s">
        <v>104</v>
      </c>
      <c r="B38" t="s">
        <v>369</v>
      </c>
      <c r="C38" t="s">
        <v>375</v>
      </c>
      <c r="D38" t="str">
        <f>HYPERLINK("https://www.zillow.com/learn/first-time-buyer-loan-programs/","https://www.zillow.com/learn/first-time-buyer-loan-programs/")</f>
        <v>https://www.zillow.com/learn/first-time-buyer-loan-programs/</v>
      </c>
    </row>
    <row r="39" spans="1:4" x14ac:dyDescent="0.25">
      <c r="A39" t="s">
        <v>104</v>
      </c>
      <c r="B39" t="s">
        <v>369</v>
      </c>
      <c r="C39" t="s">
        <v>411</v>
      </c>
      <c r="D39" t="str">
        <f>HYPERLINK("https://www.mccneb.edu/About-MCC-Nebraska/About-MCC/Board-of-Governors/Graduating-Senior-Scholarship","https://www.mccneb.edu/About-MCC-Nebraska/About-MCC/Board-of-Governors/Graduating-Senior-Scholarship")</f>
        <v>https://www.mccneb.edu/About-MCC-Nebraska/About-MCC/Board-of-Governors/Graduating-Senior-Scholarship</v>
      </c>
    </row>
    <row r="40" spans="1:4" x14ac:dyDescent="0.25">
      <c r="A40" t="s">
        <v>104</v>
      </c>
      <c r="B40" t="s">
        <v>369</v>
      </c>
      <c r="C40" t="s">
        <v>385</v>
      </c>
      <c r="D40" t="str">
        <f>HYPERLINK("https://sse.umkc.edu/affordability/first-time-students.html","https://sse.umkc.edu/affordability/first-time-students.html")</f>
        <v>https://sse.umkc.edu/affordability/first-time-students.html</v>
      </c>
    </row>
    <row r="41" spans="1:4" x14ac:dyDescent="0.25">
      <c r="A41" t="s">
        <v>104</v>
      </c>
      <c r="B41" t="s">
        <v>369</v>
      </c>
      <c r="C41" t="s">
        <v>393</v>
      </c>
      <c r="D41" t="str">
        <f>HYPERLINK("https://www.brockport.edu/scholarships-aid/scholarships/","https://www.brockport.edu/scholarships-aid/scholarships/")</f>
        <v>https://www.brockport.edu/scholarships-aid/scholarships/</v>
      </c>
    </row>
    <row r="42" spans="1:4" x14ac:dyDescent="0.25">
      <c r="A42" t="s">
        <v>104</v>
      </c>
      <c r="B42" t="s">
        <v>369</v>
      </c>
      <c r="C42" t="s">
        <v>442</v>
      </c>
      <c r="D42" t="str">
        <f>HYPERLINK("https://www.fredonia.edu/admissions-aid/financial-aid/first-year-scholarship-opportunities","https://www.fredonia.edu/admissions-aid/financial-aid/first-year-scholarship-opportunities")</f>
        <v>https://www.fredonia.edu/admissions-aid/financial-aid/first-year-scholarship-opportunities</v>
      </c>
    </row>
    <row r="43" spans="1:4" x14ac:dyDescent="0.25">
      <c r="A43" t="s">
        <v>104</v>
      </c>
      <c r="B43" t="s">
        <v>369</v>
      </c>
      <c r="C43" t="s">
        <v>416</v>
      </c>
      <c r="D43" t="str">
        <f>HYPERLINK("https://www.wright.edu/enrollment-services/financial-aid/first-year-scholarships","https://www.wright.edu/enrollment-services/financial-aid/first-year-scholarships")</f>
        <v>https://www.wright.edu/enrollment-services/financial-aid/first-year-scholarships</v>
      </c>
    </row>
    <row r="44" spans="1:4" x14ac:dyDescent="0.25">
      <c r="A44" t="s">
        <v>104</v>
      </c>
      <c r="B44" t="s">
        <v>369</v>
      </c>
      <c r="C44" t="s">
        <v>371</v>
      </c>
      <c r="D44" t="str">
        <f>HYPERLINK("https://www.firstinspires.org/about/press-room/five-outstanding-community-organizations-awarded-stem-equity-community-innovation-grants-from-first","https://www.firstinspires.org/about/press-room/five-outstanding-community-organizations-awarded-stem-equity-community-innovation-grants-from-first")</f>
        <v>https://www.firstinspires.org/about/press-room/five-outstanding-community-organizations-awarded-stem-equity-community-innovation-grants-from-first</v>
      </c>
    </row>
    <row r="45" spans="1:4" x14ac:dyDescent="0.25">
      <c r="A45" t="s">
        <v>104</v>
      </c>
      <c r="B45" t="s">
        <v>369</v>
      </c>
      <c r="C45" t="s">
        <v>379</v>
      </c>
      <c r="D45" t="str">
        <f>HYPERLINK("https://www.uschamber.com/co/run/business-financing/small-business-grants-and-programs","https://www.uschamber.com/co/run/business-financing/small-business-grants-and-programs")</f>
        <v>https://www.uschamber.com/co/run/business-financing/small-business-grants-and-programs</v>
      </c>
    </row>
    <row r="46" spans="1:4" x14ac:dyDescent="0.25">
      <c r="A46" t="s">
        <v>104</v>
      </c>
      <c r="B46" t="s">
        <v>369</v>
      </c>
      <c r="C46" t="s">
        <v>17</v>
      </c>
      <c r="D46" t="str">
        <f>HYPERLINK("https://stemgrants.com/guide-to-stem-grants/","https://stemgrants.com/guide-to-stem-grants/")</f>
        <v>https://stemgrants.com/guide-to-stem-grants/</v>
      </c>
    </row>
    <row r="47" spans="1:4" x14ac:dyDescent="0.25">
      <c r="A47" t="s">
        <v>104</v>
      </c>
      <c r="B47" t="s">
        <v>369</v>
      </c>
      <c r="C47" t="s">
        <v>453</v>
      </c>
      <c r="D47" t="str">
        <f>HYPERLINK("https://stemfinity.com/pages/free-stem-grant-writing-assistance?srsltid=AfmBOooOoOJo7ICSPdF67iKniB1NKb0G4ldK1SCu_eEwXDNhUGgx8fX5","https://stemfinity.com/pages/free-stem-grant-writing-assistance?srsltid=AfmBOooOoOJo7ICSPdF67iKniB1NKb0G4ldK1SCu_eEwXDNhUGgx8fX5")</f>
        <v>https://stemfinity.com/pages/free-stem-grant-writing-assistance?srsltid=AfmBOooOoOJo7ICSPdF67iKniB1NKb0G4ldK1SCu_eEwXDNhUGgx8fX5</v>
      </c>
    </row>
    <row r="48" spans="1:4" x14ac:dyDescent="0.25">
      <c r="A48" t="s">
        <v>104</v>
      </c>
      <c r="B48" t="s">
        <v>369</v>
      </c>
      <c r="C48" t="s">
        <v>9</v>
      </c>
      <c r="D48" t="str">
        <f>HYPERLINK("https://new.nsf.gov/funding","https://new.nsf.gov/funding")</f>
        <v>https://new.nsf.gov/funding</v>
      </c>
    </row>
    <row r="49" spans="1:4" x14ac:dyDescent="0.25">
      <c r="A49" t="s">
        <v>104</v>
      </c>
      <c r="B49" t="s">
        <v>369</v>
      </c>
      <c r="C49" t="s">
        <v>485</v>
      </c>
      <c r="D49" t="str">
        <f>HYPERLINK("https://aasldpubs.onlinelibrary.wiley.com/doi/pdf/10.1002/hep.23626","https://aasldpubs.onlinelibrary.wiley.com/doi/pdf/10.1002/hep.23626")</f>
        <v>https://aasldpubs.onlinelibrary.wiley.com/doi/pdf/10.1002/hep.23626</v>
      </c>
    </row>
    <row r="50" spans="1:4" x14ac:dyDescent="0.25">
      <c r="A50" t="s">
        <v>104</v>
      </c>
      <c r="B50" t="s">
        <v>369</v>
      </c>
      <c r="C50" t="s">
        <v>456</v>
      </c>
      <c r="D50" t="str">
        <f>HYPERLINK("https://new.nsf.gov/funding/getting-started","https://new.nsf.gov/funding/getting-started")</f>
        <v>https://new.nsf.gov/funding/getting-started</v>
      </c>
    </row>
    <row r="51" spans="1:4" x14ac:dyDescent="0.25">
      <c r="A51" t="s">
        <v>104</v>
      </c>
      <c r="B51" t="s">
        <v>369</v>
      </c>
      <c r="C51" t="s">
        <v>386</v>
      </c>
      <c r="D51" t="str">
        <f>HYPERLINK("https://educate.iowa.gov/grant-funding-opportunities","https://educate.iowa.gov/grant-funding-opportunities")</f>
        <v>https://educate.iowa.gov/grant-funding-opportunities</v>
      </c>
    </row>
    <row r="52" spans="1:4" x14ac:dyDescent="0.25">
      <c r="A52" t="s">
        <v>104</v>
      </c>
      <c r="B52" t="s">
        <v>369</v>
      </c>
      <c r="C52" t="s">
        <v>376</v>
      </c>
      <c r="D52" t="str">
        <f>HYPERLINK("https://firstintexas.org/grants/","https://firstintexas.org/grants/")</f>
        <v>https://firstintexas.org/grants/</v>
      </c>
    </row>
    <row r="53" spans="1:4" x14ac:dyDescent="0.25">
      <c r="A53" t="s">
        <v>104</v>
      </c>
      <c r="B53" t="s">
        <v>369</v>
      </c>
      <c r="C53" t="s">
        <v>412</v>
      </c>
      <c r="D53" t="str">
        <f>HYPERLINK("https://www.sfa.ufl.edu/types-of-aid/grants/","https://www.sfa.ufl.edu/types-of-aid/grants/")</f>
        <v>https://www.sfa.ufl.edu/types-of-aid/grants/</v>
      </c>
    </row>
    <row r="54" spans="1:4" x14ac:dyDescent="0.25">
      <c r="A54" t="s">
        <v>104</v>
      </c>
      <c r="B54" t="s">
        <v>369</v>
      </c>
      <c r="C54" t="s">
        <v>436</v>
      </c>
      <c r="D54" t="str">
        <f>HYPERLINK("https://www.keene.edu/admissions/aid/grants/","https://www.keene.edu/admissions/aid/grants/")</f>
        <v>https://www.keene.edu/admissions/aid/grants/</v>
      </c>
    </row>
    <row r="55" spans="1:4" x14ac:dyDescent="0.25">
      <c r="A55" t="s">
        <v>104</v>
      </c>
      <c r="B55" t="s">
        <v>369</v>
      </c>
      <c r="C55" t="s">
        <v>403</v>
      </c>
      <c r="D55" t="str">
        <f>HYPERLINK("https://ohio.gov/residents/resources/state-grants-and-scholarships","https://ohio.gov/residents/resources/state-grants-and-scholarships")</f>
        <v>https://ohio.gov/residents/resources/state-grants-and-scholarships</v>
      </c>
    </row>
    <row r="56" spans="1:4" x14ac:dyDescent="0.25">
      <c r="A56" t="s">
        <v>104</v>
      </c>
      <c r="B56" t="s">
        <v>369</v>
      </c>
      <c r="C56" t="s">
        <v>457</v>
      </c>
      <c r="D56" t="str">
        <f>HYPERLINK("https://tryengineering.org/news/ieee-pre-university-stem-portal-grants-2022-accepting-applications/","https://tryengineering.org/news/ieee-pre-university-stem-portal-grants-2022-accepting-applications/")</f>
        <v>https://tryengineering.org/news/ieee-pre-university-stem-portal-grants-2022-accepting-applications/</v>
      </c>
    </row>
    <row r="57" spans="1:4" x14ac:dyDescent="0.25">
      <c r="A57" t="s">
        <v>104</v>
      </c>
      <c r="B57" t="s">
        <v>369</v>
      </c>
      <c r="C57" t="s">
        <v>430</v>
      </c>
      <c r="D57" t="str">
        <f>HYPERLINK("https://www.illinois.gov/news/press-release.8609.html","https://www.illinois.gov/news/press-release.8609.html")</f>
        <v>https://www.illinois.gov/news/press-release.8609.html</v>
      </c>
    </row>
    <row r="58" spans="1:4" x14ac:dyDescent="0.25">
      <c r="A58" t="s">
        <v>104</v>
      </c>
      <c r="B58" t="s">
        <v>369</v>
      </c>
      <c r="C58" t="s">
        <v>406</v>
      </c>
      <c r="D58" t="str">
        <f>HYPERLINK("https://new.nsf.gov/awards/first-time-awardees","https://new.nsf.gov/awards/first-time-awardees")</f>
        <v>https://new.nsf.gov/awards/first-time-awardees</v>
      </c>
    </row>
    <row r="59" spans="1:4" x14ac:dyDescent="0.25">
      <c r="A59" t="s">
        <v>104</v>
      </c>
      <c r="B59" t="s">
        <v>369</v>
      </c>
      <c r="C59" t="s">
        <v>483</v>
      </c>
      <c r="D59" t="str">
        <f>HYPERLINK("https://ascopubs.org/doi/abs/10.1200/JCO.2012.46.9957","https://ascopubs.org/doi/abs/10.1200/JCO.2012.46.9957")</f>
        <v>https://ascopubs.org/doi/abs/10.1200/JCO.2012.46.9957</v>
      </c>
    </row>
    <row r="60" spans="1:4" x14ac:dyDescent="0.25">
      <c r="A60" t="s">
        <v>104</v>
      </c>
      <c r="B60" t="s">
        <v>369</v>
      </c>
      <c r="C60" t="s">
        <v>65</v>
      </c>
      <c r="D60" t="str">
        <f>HYPERLINK("https://peer.asee.org/leveraging-s-stem-scholarship-programs","https://peer.asee.org/leveraging-s-stem-scholarship-programs")</f>
        <v>https://peer.asee.org/leveraging-s-stem-scholarship-programs</v>
      </c>
    </row>
    <row r="61" spans="1:4" x14ac:dyDescent="0.25">
      <c r="A61" t="s">
        <v>104</v>
      </c>
      <c r="B61" t="s">
        <v>369</v>
      </c>
      <c r="C61" t="s">
        <v>380</v>
      </c>
      <c r="D61" t="str">
        <f>HYPERLINK("https://srg.societyforscience.org/","https://srg.societyforscience.org/")</f>
        <v>https://srg.societyforscience.org/</v>
      </c>
    </row>
    <row r="62" spans="1:4" x14ac:dyDescent="0.25">
      <c r="A62" t="s">
        <v>104</v>
      </c>
      <c r="B62" t="s">
        <v>369</v>
      </c>
      <c r="C62" t="s">
        <v>388</v>
      </c>
      <c r="D62" t="str">
        <f>HYPERLINK("https://www.malone.edu/news/details/malone-receives-choose-ohio-first-grant-to-support-careers-in-stem/","https://www.malone.edu/news/details/malone-receives-choose-ohio-first-grant-to-support-careers-in-stem/")</f>
        <v>https://www.malone.edu/news/details/malone-receives-choose-ohio-first-grant-to-support-careers-in-stem/</v>
      </c>
    </row>
    <row r="63" spans="1:4" x14ac:dyDescent="0.25">
      <c r="A63" t="s">
        <v>104</v>
      </c>
      <c r="B63" t="s">
        <v>369</v>
      </c>
      <c r="C63" t="s">
        <v>463</v>
      </c>
      <c r="D63" t="str">
        <f>HYPERLINK("https://new.nsf.gov/awards/manage","https://new.nsf.gov/awards/manage")</f>
        <v>https://new.nsf.gov/awards/manage</v>
      </c>
    </row>
    <row r="64" spans="1:4" x14ac:dyDescent="0.25">
      <c r="A64" t="s">
        <v>104</v>
      </c>
      <c r="B64" t="s">
        <v>369</v>
      </c>
      <c r="C64" t="s">
        <v>427</v>
      </c>
      <c r="D64" t="str">
        <f>HYPERLINK("https://www.mass.edu/osfa/programs/highdemand.asp","https://www.mass.edu/osfa/programs/highdemand.asp")</f>
        <v>https://www.mass.edu/osfa/programs/highdemand.asp</v>
      </c>
    </row>
    <row r="65" spans="1:4" x14ac:dyDescent="0.25">
      <c r="A65" t="s">
        <v>104</v>
      </c>
      <c r="B65" t="s">
        <v>369</v>
      </c>
      <c r="C65" t="s">
        <v>409</v>
      </c>
      <c r="D65" t="str">
        <f>HYPERLINK("https://qubeshub.org/community/groups/coursesource/publications?id=2725&amp;v=1","https://qubeshub.org/community/groups/coursesource/publications?id=2725&amp;v=1")</f>
        <v>https://qubeshub.org/community/groups/coursesource/publications?id=2725&amp;v=1</v>
      </c>
    </row>
    <row r="66" spans="1:4" x14ac:dyDescent="0.25">
      <c r="A66" t="s">
        <v>104</v>
      </c>
      <c r="B66" t="s">
        <v>369</v>
      </c>
      <c r="C66" t="s">
        <v>438</v>
      </c>
      <c r="D66" t="str">
        <f>HYPERLINK("https://www.uiw.edu/admissions/resources/scholarships.html","https://www.uiw.edu/admissions/resources/scholarships.html")</f>
        <v>https://www.uiw.edu/admissions/resources/scholarships.html</v>
      </c>
    </row>
    <row r="67" spans="1:4" x14ac:dyDescent="0.25">
      <c r="A67" t="s">
        <v>104</v>
      </c>
      <c r="B67" t="s">
        <v>369</v>
      </c>
      <c r="C67" t="s">
        <v>390</v>
      </c>
      <c r="D67" t="str">
        <f>HYPERLINK("https://grants.nih.gov/grants/guide/notice-files/NOT-OD-23-032.html","https://grants.nih.gov/grants/guide/notice-files/NOT-OD-23-032.html")</f>
        <v>https://grants.nih.gov/grants/guide/notice-files/NOT-OD-23-032.html</v>
      </c>
    </row>
    <row r="68" spans="1:4" x14ac:dyDescent="0.25">
      <c r="A68" t="s">
        <v>104</v>
      </c>
      <c r="B68" t="s">
        <v>369</v>
      </c>
      <c r="C68" t="s">
        <v>460</v>
      </c>
      <c r="D68" t="str">
        <f>HYPERLINK("https://new.nsf.gov/science-matters/nsf-101-funding-opportunities-early-career","https://new.nsf.gov/science-matters/nsf-101-funding-opportunities-early-career")</f>
        <v>https://new.nsf.gov/science-matters/nsf-101-funding-opportunities-early-career</v>
      </c>
    </row>
    <row r="69" spans="1:4" x14ac:dyDescent="0.25">
      <c r="A69" t="s">
        <v>104</v>
      </c>
      <c r="B69" t="s">
        <v>369</v>
      </c>
      <c r="C69" t="s">
        <v>399</v>
      </c>
      <c r="D69" t="str">
        <f>HYPERLINK("https://new.nsf.gov/funding/opportunities/grfp-nsf-graduate-research-fellowship-program","https://new.nsf.gov/funding/opportunities/grfp-nsf-graduate-research-fellowship-program")</f>
        <v>https://new.nsf.gov/funding/opportunities/grfp-nsf-graduate-research-fellowship-program</v>
      </c>
    </row>
    <row r="70" spans="1:4" x14ac:dyDescent="0.25">
      <c r="A70" t="s">
        <v>104</v>
      </c>
      <c r="B70" t="s">
        <v>369</v>
      </c>
      <c r="C70" t="s">
        <v>10</v>
      </c>
      <c r="D70" t="str">
        <f>HYPERLINK("https://new.nsf.gov/funding/opportunities/s-stem-nsf-scholarships-science-technology-engineering-mathematics","https://new.nsf.gov/funding/opportunities/s-stem-nsf-scholarships-science-technology-engineering-mathematics")</f>
        <v>https://new.nsf.gov/funding/opportunities/s-stem-nsf-scholarships-science-technology-engineering-mathematics</v>
      </c>
    </row>
    <row r="71" spans="1:4" x14ac:dyDescent="0.25">
      <c r="A71" t="s">
        <v>104</v>
      </c>
      <c r="B71" t="s">
        <v>369</v>
      </c>
      <c r="C71" t="s">
        <v>481</v>
      </c>
      <c r="D71" t="str">
        <f>HYPERLINK("https://peer.asee.org/nsf-s-stem-scholarship-grant-for-engineering-and-applied-technology-majors-to-increase-enrollment-and-retention","https://peer.asee.org/nsf-s-stem-scholarship-grant-for-engineering-and-applied-technology-majors-to-increase-enrollment-and-retention")</f>
        <v>https://peer.asee.org/nsf-s-stem-scholarship-grant-for-engineering-and-applied-technology-majors-to-increase-enrollment-and-retention</v>
      </c>
    </row>
    <row r="72" spans="1:4" x14ac:dyDescent="0.25">
      <c r="A72" t="s">
        <v>104</v>
      </c>
      <c r="B72" t="s">
        <v>369</v>
      </c>
      <c r="C72" t="s">
        <v>469</v>
      </c>
      <c r="D72" t="str">
        <f>HYPERLINK("https://www.academia.edu/download/79692809/article.pdf","https://www.academia.edu/download/79692809/article.pdf")</f>
        <v>https://www.academia.edu/download/79692809/article.pdf</v>
      </c>
    </row>
    <row r="73" spans="1:4" x14ac:dyDescent="0.25">
      <c r="A73" t="s">
        <v>104</v>
      </c>
      <c r="B73" t="s">
        <v>369</v>
      </c>
      <c r="C73" t="s">
        <v>395</v>
      </c>
      <c r="D73" t="str">
        <f>HYPERLINK("https://new.nsf.gov/funding/early-career-researchers","https://new.nsf.gov/funding/early-career-researchers")</f>
        <v>https://new.nsf.gov/funding/early-career-researchers</v>
      </c>
    </row>
    <row r="74" spans="1:4" x14ac:dyDescent="0.25">
      <c r="A74" t="s">
        <v>104</v>
      </c>
      <c r="B74" t="s">
        <v>369</v>
      </c>
      <c r="C74" t="s">
        <v>468</v>
      </c>
      <c r="D74" t="str">
        <f>HYPERLINK("https://journals.sagepub.com/doi/abs/10.1177/0895904818755455","https://journals.sagepub.com/doi/abs/10.1177/0895904818755455")</f>
        <v>https://journals.sagepub.com/doi/abs/10.1177/0895904818755455</v>
      </c>
    </row>
    <row r="75" spans="1:4" x14ac:dyDescent="0.25">
      <c r="A75" t="s">
        <v>104</v>
      </c>
      <c r="B75" t="s">
        <v>369</v>
      </c>
      <c r="C75" t="s">
        <v>459</v>
      </c>
      <c r="D75" t="str">
        <f>HYPERLINK("https://naaee.org/programs/e-stem/e-stem-awards/faq","https://naaee.org/programs/e-stem/e-stem-awards/faq")</f>
        <v>https://naaee.org/programs/e-stem/e-stem-awards/faq</v>
      </c>
    </row>
    <row r="76" spans="1:4" x14ac:dyDescent="0.25">
      <c r="A76" t="s">
        <v>104</v>
      </c>
      <c r="B76" t="s">
        <v>369</v>
      </c>
      <c r="C76" t="s">
        <v>420</v>
      </c>
      <c r="D76" t="str">
        <f>HYPERLINK("https://www.cprit.texas.gov/grants-funded/grants/rr210016","https://www.cprit.texas.gov/grants-funded/grants/rr210016")</f>
        <v>https://www.cprit.texas.gov/grants-funded/grants/rr210016</v>
      </c>
    </row>
    <row r="77" spans="1:4" x14ac:dyDescent="0.25">
      <c r="A77" t="s">
        <v>104</v>
      </c>
      <c r="B77" t="s">
        <v>369</v>
      </c>
      <c r="C77" t="s">
        <v>420</v>
      </c>
      <c r="D77" t="str">
        <f>HYPERLINK("https://www.cprit.texas.gov/grants-funded/grants/rr210035","https://www.cprit.texas.gov/grants-funded/grants/rr210035")</f>
        <v>https://www.cprit.texas.gov/grants-funded/grants/rr210035</v>
      </c>
    </row>
    <row r="78" spans="1:4" x14ac:dyDescent="0.25">
      <c r="A78" t="s">
        <v>104</v>
      </c>
      <c r="B78" t="s">
        <v>369</v>
      </c>
      <c r="C78" t="s">
        <v>410</v>
      </c>
      <c r="D78" t="str">
        <f>HYPERLINK("https://new.nsf.gov/awards/request-a-change","https://new.nsf.gov/awards/request-a-change")</f>
        <v>https://new.nsf.gov/awards/request-a-change</v>
      </c>
    </row>
    <row r="79" spans="1:4" x14ac:dyDescent="0.25">
      <c r="A79" t="s">
        <v>104</v>
      </c>
      <c r="B79" t="s">
        <v>369</v>
      </c>
      <c r="C79" t="s">
        <v>470</v>
      </c>
      <c r="D79" t="str">
        <f>HYPERLINK("https://link.springer.com/article/10.1186/s40594-020-00213-8","https://link.springer.com/article/10.1186/s40594-020-00213-8")</f>
        <v>https://link.springer.com/article/10.1186/s40594-020-00213-8</v>
      </c>
    </row>
    <row r="80" spans="1:4" x14ac:dyDescent="0.25">
      <c r="A80" t="s">
        <v>104</v>
      </c>
      <c r="B80" t="s">
        <v>369</v>
      </c>
      <c r="C80" t="s">
        <v>472</v>
      </c>
      <c r="D80" t="str">
        <f>HYPERLINK("https://par.nsf.gov/biblio/10108739","https://par.nsf.gov/biblio/10108739")</f>
        <v>https://par.nsf.gov/biblio/10108739</v>
      </c>
    </row>
    <row r="81" spans="1:4" x14ac:dyDescent="0.25">
      <c r="A81" t="s">
        <v>104</v>
      </c>
      <c r="B81" t="s">
        <v>369</v>
      </c>
      <c r="C81" t="s">
        <v>419</v>
      </c>
      <c r="D81" t="str">
        <f>HYPERLINK("https://sams.adhe.edu/scholarship/details/ARFUTURE","https://sams.adhe.edu/scholarship/details/ARFUTURE")</f>
        <v>https://sams.adhe.edu/scholarship/details/ARFUTURE</v>
      </c>
    </row>
    <row r="82" spans="1:4" x14ac:dyDescent="0.25">
      <c r="A82" t="s">
        <v>104</v>
      </c>
      <c r="B82" t="s">
        <v>369</v>
      </c>
      <c r="C82" t="s">
        <v>431</v>
      </c>
      <c r="D82" t="str">
        <f>HYPERLINK("https://www.bhsu.edu/admissions/pay-for-college/scholarships/","https://www.bhsu.edu/admissions/pay-for-college/scholarships/")</f>
        <v>https://www.bhsu.edu/admissions/pay-for-college/scholarships/</v>
      </c>
    </row>
    <row r="83" spans="1:4" x14ac:dyDescent="0.25">
      <c r="A83" t="s">
        <v>104</v>
      </c>
      <c r="B83" t="s">
        <v>369</v>
      </c>
      <c r="C83" t="s">
        <v>414</v>
      </c>
      <c r="D83" t="str">
        <f>HYPERLINK("https://engineering.utdallas.edu/academics/undergraduate-majors/scholarships/","https://engineering.utdallas.edu/academics/undergraduate-majors/scholarships/")</f>
        <v>https://engineering.utdallas.edu/academics/undergraduate-majors/scholarships/</v>
      </c>
    </row>
    <row r="84" spans="1:4" x14ac:dyDescent="0.25">
      <c r="A84" t="s">
        <v>104</v>
      </c>
      <c r="B84" t="s">
        <v>369</v>
      </c>
      <c r="C84" t="s">
        <v>415</v>
      </c>
      <c r="D84" t="str">
        <f>HYPERLINK("https://www.mtech.edu/financial-aid/scholarships/index.html","https://www.mtech.edu/financial-aid/scholarships/index.html")</f>
        <v>https://www.mtech.edu/financial-aid/scholarships/index.html</v>
      </c>
    </row>
    <row r="85" spans="1:4" x14ac:dyDescent="0.25">
      <c r="A85" t="s">
        <v>104</v>
      </c>
      <c r="B85" t="s">
        <v>369</v>
      </c>
      <c r="C85" t="s">
        <v>68</v>
      </c>
      <c r="D85" t="str">
        <f>HYPERLINK("https://mgccc.edu/paying-for-college/scholarships/","https://mgccc.edu/paying-for-college/scholarships/")</f>
        <v>https://mgccc.edu/paying-for-college/scholarships/</v>
      </c>
    </row>
    <row r="86" spans="1:4" x14ac:dyDescent="0.25">
      <c r="A86" t="s">
        <v>104</v>
      </c>
      <c r="B86" t="s">
        <v>369</v>
      </c>
      <c r="C86" t="s">
        <v>435</v>
      </c>
      <c r="D86" t="str">
        <f>HYPERLINK("https://finaid.utdallas.edu/scholarships/","https://finaid.utdallas.edu/scholarships/")</f>
        <v>https://finaid.utdallas.edu/scholarships/</v>
      </c>
    </row>
    <row r="87" spans="1:4" x14ac:dyDescent="0.25">
      <c r="A87" t="s">
        <v>104</v>
      </c>
      <c r="B87" t="s">
        <v>369</v>
      </c>
      <c r="C87" t="s">
        <v>413</v>
      </c>
      <c r="D87" t="str">
        <f>HYPERLINK("https://onestop.utsa.edu/scholarships/","https://onestop.utsa.edu/scholarships/")</f>
        <v>https://onestop.utsa.edu/scholarships/</v>
      </c>
    </row>
    <row r="88" spans="1:4" x14ac:dyDescent="0.25">
      <c r="A88" t="s">
        <v>104</v>
      </c>
      <c r="B88" t="s">
        <v>369</v>
      </c>
      <c r="C88" t="s">
        <v>407</v>
      </c>
      <c r="D88" t="str">
        <f>HYPERLINK("https://www.csm.edu/admissions/scholarships-grants","https://www.csm.edu/admissions/scholarships-grants")</f>
        <v>https://www.csm.edu/admissions/scholarships-grants</v>
      </c>
    </row>
    <row r="89" spans="1:4" x14ac:dyDescent="0.25">
      <c r="A89" t="s">
        <v>104</v>
      </c>
      <c r="B89" t="s">
        <v>369</v>
      </c>
      <c r="C89" t="s">
        <v>441</v>
      </c>
      <c r="D89" t="str">
        <f>HYPERLINK("https://www.grandview.edu/admissions/financial-aid/scholarships-grants","https://www.grandview.edu/admissions/financial-aid/scholarships-grants")</f>
        <v>https://www.grandview.edu/admissions/financial-aid/scholarships-grants</v>
      </c>
    </row>
    <row r="90" spans="1:4" x14ac:dyDescent="0.25">
      <c r="A90" t="s">
        <v>104</v>
      </c>
      <c r="B90" t="s">
        <v>369</v>
      </c>
      <c r="C90" t="s">
        <v>404</v>
      </c>
      <c r="D90" t="str">
        <f>HYPERLINK("https://www.marietta.edu/scholarships","https://www.marietta.edu/scholarships")</f>
        <v>https://www.marietta.edu/scholarships</v>
      </c>
    </row>
    <row r="91" spans="1:4" x14ac:dyDescent="0.25">
      <c r="A91" t="s">
        <v>104</v>
      </c>
      <c r="B91" t="s">
        <v>369</v>
      </c>
      <c r="C91" t="s">
        <v>464</v>
      </c>
      <c r="D91" t="str">
        <f>HYPERLINK("https://www.mdc.edu/financialaid/scholarships/","https://www.mdc.edu/financialaid/scholarships/")</f>
        <v>https://www.mdc.edu/financialaid/scholarships/</v>
      </c>
    </row>
    <row r="92" spans="1:4" x14ac:dyDescent="0.25">
      <c r="A92" t="s">
        <v>104</v>
      </c>
      <c r="B92" t="s">
        <v>369</v>
      </c>
      <c r="C92" t="s">
        <v>408</v>
      </c>
      <c r="D92" t="str">
        <f>HYPERLINK("https://miamioh.edu/regionals/tuition-financial-aid/scholarships/index.html","https://miamioh.edu/regionals/tuition-financial-aid/scholarships/index.html")</f>
        <v>https://miamioh.edu/regionals/tuition-financial-aid/scholarships/index.html</v>
      </c>
    </row>
    <row r="93" spans="1:4" x14ac:dyDescent="0.25">
      <c r="A93" t="s">
        <v>104</v>
      </c>
      <c r="B93" t="s">
        <v>369</v>
      </c>
      <c r="C93" t="s">
        <v>437</v>
      </c>
      <c r="D93" t="str">
        <f>HYPERLINK("https://computing.unl.edu/scholarships/","https://computing.unl.edu/scholarships/")</f>
        <v>https://computing.unl.edu/scholarships/</v>
      </c>
    </row>
    <row r="94" spans="1:4" x14ac:dyDescent="0.25">
      <c r="A94" t="s">
        <v>104</v>
      </c>
      <c r="B94" t="s">
        <v>369</v>
      </c>
      <c r="C94" t="s">
        <v>421</v>
      </c>
      <c r="D94" t="str">
        <f>HYPERLINK("https://www.ucf.edu/financial-aid/types/scholarships/","https://www.ucf.edu/financial-aid/types/scholarships/")</f>
        <v>https://www.ucf.edu/financial-aid/types/scholarships/</v>
      </c>
    </row>
    <row r="95" spans="1:4" x14ac:dyDescent="0.25">
      <c r="A95" t="s">
        <v>104</v>
      </c>
      <c r="B95" t="s">
        <v>369</v>
      </c>
      <c r="C95" t="s">
        <v>392</v>
      </c>
      <c r="D95" t="str">
        <f>HYPERLINK("https://www.stthomas.edu/financial-aid/undergraduate/scholarships/","https://www.stthomas.edu/financial-aid/undergraduate/scholarships/")</f>
        <v>https://www.stthomas.edu/financial-aid/undergraduate/scholarships/</v>
      </c>
    </row>
    <row r="96" spans="1:4" x14ac:dyDescent="0.25">
      <c r="A96" t="s">
        <v>104</v>
      </c>
      <c r="B96" t="s">
        <v>369</v>
      </c>
      <c r="C96" t="s">
        <v>401</v>
      </c>
      <c r="D96" t="str">
        <f>HYPERLINK("https://www.caldwell.edu/admissions/financial-aid/scholarships-and-grants/","https://www.caldwell.edu/admissions/financial-aid/scholarships-and-grants/")</f>
        <v>https://www.caldwell.edu/admissions/financial-aid/scholarships-and-grants/</v>
      </c>
    </row>
    <row r="97" spans="1:4" x14ac:dyDescent="0.25">
      <c r="A97" t="s">
        <v>104</v>
      </c>
      <c r="B97" t="s">
        <v>369</v>
      </c>
      <c r="C97" t="s">
        <v>424</v>
      </c>
      <c r="D97" t="str">
        <f>HYPERLINK("https://mcm.edu/tuition-financial-aid-scholarships/scholarships-grants/","https://mcm.edu/tuition-financial-aid-scholarships/scholarships-grants/")</f>
        <v>https://mcm.edu/tuition-financial-aid-scholarships/scholarships-grants/</v>
      </c>
    </row>
    <row r="98" spans="1:4" x14ac:dyDescent="0.25">
      <c r="A98" t="s">
        <v>104</v>
      </c>
      <c r="B98" t="s">
        <v>369</v>
      </c>
      <c r="C98" t="s">
        <v>417</v>
      </c>
      <c r="D98" t="str">
        <f>HYPERLINK("https://www.che.sc.gov/students-families-and-military/scholarships-and-grants-sc-residents","https://www.che.sc.gov/students-families-and-military/scholarships-and-grants-sc-residents")</f>
        <v>https://www.che.sc.gov/students-families-and-military/scholarships-and-grants-sc-residents</v>
      </c>
    </row>
    <row r="99" spans="1:4" x14ac:dyDescent="0.25">
      <c r="A99" t="s">
        <v>104</v>
      </c>
      <c r="B99" t="s">
        <v>369</v>
      </c>
      <c r="C99" t="s">
        <v>394</v>
      </c>
      <c r="D99" t="str">
        <f>HYPERLINK("https://inside.nku.edu/financialaid/scholarships.html","https://inside.nku.edu/financialaid/scholarships.html")</f>
        <v>https://inside.nku.edu/financialaid/scholarships.html</v>
      </c>
    </row>
    <row r="100" spans="1:4" x14ac:dyDescent="0.25">
      <c r="A100" t="s">
        <v>104</v>
      </c>
      <c r="B100" t="s">
        <v>369</v>
      </c>
      <c r="C100" t="s">
        <v>405</v>
      </c>
      <c r="D100" t="str">
        <f>HYPERLINK("https://ospi.k12.wa.us/certification/educational-staff-associate-esa-certificates/esa-first-time-applicant/school-counselor-first-time-applicant","https://ospi.k12.wa.us/certification/educational-staff-associate-esa-certificates/esa-first-time-applicant/school-counselor-first-time-applicant")</f>
        <v>https://ospi.k12.wa.us/certification/educational-staff-associate-esa-certificates/esa-first-time-applicant/school-counselor-first-time-applicant</v>
      </c>
    </row>
    <row r="101" spans="1:4" x14ac:dyDescent="0.25">
      <c r="A101" t="s">
        <v>104</v>
      </c>
      <c r="B101" t="s">
        <v>369</v>
      </c>
      <c r="C101" t="s">
        <v>398</v>
      </c>
      <c r="D101" t="str">
        <f>HYPERLINK("https://ospi.k12.wa.us/certification/educational-staff-associate-esa-certificates/esa-first-time-applicant/school-occupational-therapist-first-time","https://ospi.k12.wa.us/certification/educational-staff-associate-esa-certificates/esa-first-time-applicant/school-occupational-therapist-first-time")</f>
        <v>https://ospi.k12.wa.us/certification/educational-staff-associate-esa-certificates/esa-first-time-applicant/school-occupational-therapist-first-time</v>
      </c>
    </row>
    <row r="102" spans="1:4" x14ac:dyDescent="0.25">
      <c r="A102" t="s">
        <v>104</v>
      </c>
      <c r="B102" t="s">
        <v>369</v>
      </c>
      <c r="C102" t="s">
        <v>397</v>
      </c>
      <c r="D102" t="str">
        <f>HYPERLINK("https://ospi.k12.wa.us/certification/educational-staff-associate-esa-certificates/esa-first-time-applicant/school-psychologist-first-time","https://ospi.k12.wa.us/certification/educational-staff-associate-esa-certificates/esa-first-time-applicant/school-psychologist-first-time")</f>
        <v>https://ospi.k12.wa.us/certification/educational-staff-associate-esa-certificates/esa-first-time-applicant/school-psychologist-first-time</v>
      </c>
    </row>
    <row r="103" spans="1:4" x14ac:dyDescent="0.25">
      <c r="A103" t="s">
        <v>104</v>
      </c>
      <c r="B103" t="s">
        <v>369</v>
      </c>
      <c r="C103" t="s">
        <v>449</v>
      </c>
      <c r="D103" t="str">
        <f>HYPERLINK("https://socalftc.org/grants/","https://socalftc.org/grants/")</f>
        <v>https://socalftc.org/grants/</v>
      </c>
    </row>
    <row r="104" spans="1:4" x14ac:dyDescent="0.25">
      <c r="A104" t="s">
        <v>104</v>
      </c>
      <c r="B104" t="s">
        <v>369</v>
      </c>
      <c r="C104" t="s">
        <v>39</v>
      </c>
      <c r="D104" t="str">
        <f>HYPERLINK("https://stem-supplies.com/stem-resources/funding?srsltid=AfmBOorF1DdDoM4qGZPJttTCgapEvdCPE8lBmFCGhsz3_8tZ23xQhh4k","https://stem-supplies.com/stem-resources/funding?srsltid=AfmBOorF1DdDoM4qGZPJttTCgapEvdCPE8lBmFCGhsz3_8tZ23xQhh4k")</f>
        <v>https://stem-supplies.com/stem-resources/funding?srsltid=AfmBOorF1DdDoM4qGZPJttTCgapEvdCPE8lBmFCGhsz3_8tZ23xQhh4k</v>
      </c>
    </row>
    <row r="105" spans="1:4" x14ac:dyDescent="0.25">
      <c r="A105" t="s">
        <v>104</v>
      </c>
      <c r="B105" t="s">
        <v>369</v>
      </c>
      <c r="C105" t="s">
        <v>381</v>
      </c>
      <c r="D105" t="str">
        <f>HYPERLINK("https://www.mdc.edu/science/stem-grants/","https://www.mdc.edu/science/stem-grants/")</f>
        <v>https://www.mdc.edu/science/stem-grants/</v>
      </c>
    </row>
    <row r="106" spans="1:4" x14ac:dyDescent="0.25">
      <c r="A106" t="s">
        <v>104</v>
      </c>
      <c r="B106" t="s">
        <v>369</v>
      </c>
      <c r="C106" t="s">
        <v>59</v>
      </c>
      <c r="D106" t="str">
        <f>HYPERLINK("https://stemfinity.com/pages/stem-grants?srsltid=AfmBOopMOtfpxkfYcXro6nPyFGcgPHJ0FSfe4A8uxkM3H6G3Yd_29Bzn","https://stemfinity.com/pages/stem-grants?srsltid=AfmBOopMOtfpxkfYcXro6nPyFGcgPHJ0FSfe4A8uxkM3H6G3Yd_29Bzn")</f>
        <v>https://stemfinity.com/pages/stem-grants?srsltid=AfmBOopMOtfpxkfYcXro6nPyFGcgPHJ0FSfe4A8uxkM3H6G3Yd_29Bzn</v>
      </c>
    </row>
    <row r="107" spans="1:4" x14ac:dyDescent="0.25">
      <c r="A107" t="s">
        <v>104</v>
      </c>
      <c r="B107" t="s">
        <v>369</v>
      </c>
      <c r="C107" t="s">
        <v>79</v>
      </c>
      <c r="D107" t="str">
        <f>HYPERLINK("https://stemgrants.com/stem-grants-for-universities-and-colleges/","https://stemgrants.com/stem-grants-for-universities-and-colleges/")</f>
        <v>https://stemgrants.com/stem-grants-for-universities-and-colleges/</v>
      </c>
    </row>
    <row r="108" spans="1:4" x14ac:dyDescent="0.25">
      <c r="A108" t="s">
        <v>104</v>
      </c>
      <c r="B108" t="s">
        <v>369</v>
      </c>
      <c r="C108" t="s">
        <v>374</v>
      </c>
      <c r="D108" t="str">
        <f>HYPERLINK("https://www.hsta.org/News/Recent-Stories/stem-grants-from-afcea-hawaii-available-to-educators-for-first-time","https://www.hsta.org/News/Recent-Stories/stem-grants-from-afcea-hawaii-available-to-educators-for-first-time")</f>
        <v>https://www.hsta.org/News/Recent-Stories/stem-grants-from-afcea-hawaii-available-to-educators-for-first-time</v>
      </c>
    </row>
    <row r="109" spans="1:4" x14ac:dyDescent="0.25">
      <c r="A109" t="s">
        <v>104</v>
      </c>
      <c r="B109" t="s">
        <v>369</v>
      </c>
      <c r="C109" t="s">
        <v>382</v>
      </c>
      <c r="D109" t="str">
        <f>HYPERLINK("https://www.hsta.org/news/recent-stories/stem-grants-from-afcea-hawaii-available-to-educators-for-first-time/","https://www.hsta.org/news/recent-stories/stem-grants-from-afcea-hawaii-available-to-educators-for-first-time/")</f>
        <v>https://www.hsta.org/news/recent-stories/stem-grants-from-afcea-hawaii-available-to-educators-for-first-time/</v>
      </c>
    </row>
    <row r="110" spans="1:4" x14ac:dyDescent="0.25">
      <c r="A110" t="s">
        <v>104</v>
      </c>
      <c r="B110" t="s">
        <v>369</v>
      </c>
      <c r="C110" t="s">
        <v>72</v>
      </c>
      <c r="D110" t="str">
        <f>HYPERLINK("https://rocketcontest.org/steminnovationgrants/","https://rocketcontest.org/steminnovationgrants/")</f>
        <v>https://rocketcontest.org/steminnovationgrants/</v>
      </c>
    </row>
    <row r="111" spans="1:4" x14ac:dyDescent="0.25">
      <c r="A111" t="s">
        <v>104</v>
      </c>
      <c r="B111" t="s">
        <v>369</v>
      </c>
      <c r="C111" t="s">
        <v>455</v>
      </c>
      <c r="D111" t="str">
        <f>HYPERLINK("https://stemgrants.com/stem-minigrants-1000-awarded-year-round/","https://stemgrants.com/stem-minigrants-1000-awarded-year-round/")</f>
        <v>https://stemgrants.com/stem-minigrants-1000-awarded-year-round/</v>
      </c>
    </row>
    <row r="112" spans="1:4" x14ac:dyDescent="0.25">
      <c r="A112" t="s">
        <v>104</v>
      </c>
      <c r="B112" t="s">
        <v>369</v>
      </c>
      <c r="C112" t="s">
        <v>377</v>
      </c>
      <c r="D112" t="str">
        <f>HYPERLINK("https://www.energy.gov/doe-stem/stem-opportunities","https://www.energy.gov/doe-stem/stem-opportunities")</f>
        <v>https://www.energy.gov/doe-stem/stem-opportunities</v>
      </c>
    </row>
    <row r="113" spans="1:4" x14ac:dyDescent="0.25">
      <c r="A113" t="s">
        <v>104</v>
      </c>
      <c r="B113" t="s">
        <v>369</v>
      </c>
      <c r="C113" t="s">
        <v>452</v>
      </c>
      <c r="D113" t="str">
        <f>HYPERLINK("https://www.scholarships.com/financial-aid/college-scholarships/scholarships-by-type/stem-scholarships","https://www.scholarships.com/financial-aid/college-scholarships/scholarships-by-type/stem-scholarships")</f>
        <v>https://www.scholarships.com/financial-aid/college-scholarships/scholarships-by-type/stem-scholarships</v>
      </c>
    </row>
    <row r="114" spans="1:4" x14ac:dyDescent="0.25">
      <c r="A114" t="s">
        <v>104</v>
      </c>
      <c r="B114" t="s">
        <v>369</v>
      </c>
      <c r="C114" t="s">
        <v>480</v>
      </c>
      <c r="D114" t="str">
        <f>HYPERLINK("https://www.dl.begellhouse.com/journals/00551c876cc2f027,123ee04f5c874ba3,357d36bf45679b69.html","https://www.dl.begellhouse.com/journals/00551c876cc2f027,123ee04f5c874ba3,357d36bf45679b69.html")</f>
        <v>https://www.dl.begellhouse.com/journals/00551c876cc2f027,123ee04f5c874ba3,357d36bf45679b69.html</v>
      </c>
    </row>
    <row r="115" spans="1:4" x14ac:dyDescent="0.25">
      <c r="A115" t="s">
        <v>104</v>
      </c>
      <c r="B115" t="s">
        <v>369</v>
      </c>
      <c r="C115" t="s">
        <v>487</v>
      </c>
      <c r="D115" t="str">
        <f>HYPERLINK("https://www.understandinginterventionsjournal.org/article/36521.pdf","https://www.understandinginterventionsjournal.org/article/36521.pdf")</f>
        <v>https://www.understandinginterventionsjournal.org/article/36521.pdf</v>
      </c>
    </row>
    <row r="116" spans="1:4" x14ac:dyDescent="0.25">
      <c r="A116" t="s">
        <v>104</v>
      </c>
      <c r="B116" t="s">
        <v>369</v>
      </c>
      <c r="C116" t="s">
        <v>458</v>
      </c>
      <c r="D116" t="str">
        <f>HYPERLINK("https://studentaid.gov/understand-aid/types/grants/teach","https://studentaid.gov/understand-aid/types/grants/teach")</f>
        <v>https://studentaid.gov/understand-aid/types/grants/teach</v>
      </c>
    </row>
    <row r="117" spans="1:4" x14ac:dyDescent="0.25">
      <c r="A117" t="s">
        <v>104</v>
      </c>
      <c r="B117" t="s">
        <v>369</v>
      </c>
      <c r="C117" t="s">
        <v>478</v>
      </c>
      <c r="D117" t="str">
        <f>HYPERLINK("https://www.pnas.org/doi/abs/10.1073/pnas.1810862116","https://www.pnas.org/doi/abs/10.1073/pnas.1810862116")</f>
        <v>https://www.pnas.org/doi/abs/10.1073/pnas.1810862116</v>
      </c>
    </row>
    <row r="118" spans="1:4" x14ac:dyDescent="0.25">
      <c r="A118" t="s">
        <v>104</v>
      </c>
      <c r="B118" t="s">
        <v>369</v>
      </c>
      <c r="C118" t="s">
        <v>467</v>
      </c>
      <c r="D118" t="str">
        <f>HYPERLINK("https://www.learntechlib.org/p/182464/","https://www.learntechlib.org/p/182464/")</f>
        <v>https://www.learntechlib.org/p/182464/</v>
      </c>
    </row>
    <row r="119" spans="1:4" x14ac:dyDescent="0.25">
      <c r="A119" t="s">
        <v>104</v>
      </c>
      <c r="B119" t="s">
        <v>369</v>
      </c>
      <c r="C119" t="s">
        <v>489</v>
      </c>
      <c r="D119" t="str">
        <f>HYPERLINK("https://peer.asee.org/three-years-of-the-urban-stem-collaboratory.pdf","https://peer.asee.org/three-years-of-the-urban-stem-collaboratory.pdf")</f>
        <v>https://peer.asee.org/three-years-of-the-urban-stem-collaboratory.pdf</v>
      </c>
    </row>
    <row r="120" spans="1:4" x14ac:dyDescent="0.25">
      <c r="A120" t="s">
        <v>104</v>
      </c>
      <c r="B120" t="s">
        <v>369</v>
      </c>
      <c r="C120" t="s">
        <v>454</v>
      </c>
      <c r="D120" t="str">
        <f>HYPERLINK("https://edventures.com/blogs/stempower/top-10-tips-to-building-a-successful-stem-grant-proposal?srsltid=AfmBOoryata18aHMsWXnYsykYH03tqf-gf_56vb37LUuhzb01fQ4ZLLQ","https://edventures.com/blogs/stempower/top-10-tips-to-building-a-successful-stem-grant-proposal?srsltid=AfmBOoryata18aHMsWXnYsykYH03tqf-gf_56vb37LUuhzb01fQ4ZLLQ")</f>
        <v>https://edventures.com/blogs/stempower/top-10-tips-to-building-a-successful-stem-grant-proposal?srsltid=AfmBOoryata18aHMsWXnYsykYH03tqf-gf_56vb37LUuhzb01fQ4ZLLQ</v>
      </c>
    </row>
    <row r="121" spans="1:4" x14ac:dyDescent="0.25">
      <c r="A121" t="s">
        <v>104</v>
      </c>
      <c r="B121" t="s">
        <v>369</v>
      </c>
      <c r="C121" t="s">
        <v>373</v>
      </c>
      <c r="D121" t="str">
        <f>HYPERLINK("https://scholarships360.org/scholarships/first-generation-college-student-scholarships/","https://scholarships360.org/scholarships/first-generation-college-student-scholarships/")</f>
        <v>https://scholarships360.org/scholarships/first-generation-college-student-scholarships/</v>
      </c>
    </row>
    <row r="122" spans="1:4" x14ac:dyDescent="0.25">
      <c r="A122" t="s">
        <v>104</v>
      </c>
      <c r="B122" t="s">
        <v>369</v>
      </c>
      <c r="C122" t="s">
        <v>488</v>
      </c>
      <c r="D122" t="str">
        <f>HYPERLINK("https://link.springer.com/article/10.1186/s12943-018-0809-x","https://link.springer.com/article/10.1186/s12943-018-0809-x")</f>
        <v>https://link.springer.com/article/10.1186/s12943-018-0809-x</v>
      </c>
    </row>
    <row r="123" spans="1:4" x14ac:dyDescent="0.25">
      <c r="A123" t="s">
        <v>104</v>
      </c>
      <c r="B123" t="s">
        <v>369</v>
      </c>
      <c r="C123" t="s">
        <v>425</v>
      </c>
      <c r="D123" t="str">
        <f>HYPERLINK("https://www.eckerd.edu/admissions/financial-aid/types/","https://www.eckerd.edu/admissions/financial-aid/types/")</f>
        <v>https://www.eckerd.edu/admissions/financial-aid/types/</v>
      </c>
    </row>
    <row r="124" spans="1:4" x14ac:dyDescent="0.25">
      <c r="A124" t="s">
        <v>104</v>
      </c>
      <c r="B124" t="s">
        <v>369</v>
      </c>
      <c r="C124" t="s">
        <v>402</v>
      </c>
      <c r="D124" t="str">
        <f>HYPERLINK("https://today.uic.edu/uic-exceeds-half-a-billion-dollars-in-research-funding-for-first-time/","https://today.uic.edu/uic-exceeds-half-a-billion-dollars-in-research-funding-for-first-time/")</f>
        <v>https://today.uic.edu/uic-exceeds-half-a-billion-dollars-in-research-funding-for-first-time/</v>
      </c>
    </row>
    <row r="125" spans="1:4" x14ac:dyDescent="0.25">
      <c r="A125" t="s">
        <v>104</v>
      </c>
      <c r="B125" t="s">
        <v>369</v>
      </c>
      <c r="C125" t="s">
        <v>384</v>
      </c>
      <c r="D125" t="str">
        <f>HYPERLINK("https://today.usc.edu/usc-research-spending-surpasses-1-billion/","https://today.usc.edu/usc-research-spending-surpasses-1-billion/")</f>
        <v>https://today.usc.edu/usc-research-spending-surpasses-1-billion/</v>
      </c>
    </row>
    <row r="126" spans="1:4" x14ac:dyDescent="0.25">
      <c r="A126" t="s">
        <v>104</v>
      </c>
      <c r="B126" t="s">
        <v>369</v>
      </c>
      <c r="C126" t="s">
        <v>479</v>
      </c>
      <c r="D126" t="str">
        <f>HYPERLINK("https://ilearnsci.com/onewebmedia/Assignment1.pdf","https://ilearnsci.com/onewebmedia/Assignment1.pdf")</f>
        <v>https://ilearnsci.com/onewebmedia/Assignment1.pdf</v>
      </c>
    </row>
    <row r="127" spans="1:4" x14ac:dyDescent="0.25">
      <c r="A127" t="s">
        <v>104</v>
      </c>
      <c r="B127" t="s">
        <v>369</v>
      </c>
      <c r="C127" t="s">
        <v>443</v>
      </c>
      <c r="D127" t="str">
        <f>HYPERLINK("https://www.nexussnap.com/goodsamaritan","https://www.nexussnap.com/goodsamaritan")</f>
        <v>https://www.nexussnap.com/goodsamaritan</v>
      </c>
    </row>
    <row r="128" spans="1:4" x14ac:dyDescent="0.25">
      <c r="A128" t="s">
        <v>104</v>
      </c>
      <c r="B128" t="s">
        <v>369</v>
      </c>
      <c r="C128" t="s">
        <v>446</v>
      </c>
      <c r="D128" t="str">
        <f>HYPERLINK("https://www.allaboutstem.co.uk/resources/looking-for-stem-funding/","https://www.allaboutstem.co.uk/resources/looking-for-stem-funding/")</f>
        <v>https://www.allaboutstem.co.uk/resources/looking-for-stem-funding/</v>
      </c>
    </row>
    <row r="129" spans="1:4" x14ac:dyDescent="0.25">
      <c r="A129" t="s">
        <v>104</v>
      </c>
      <c r="B129" t="s">
        <v>369</v>
      </c>
      <c r="C129" t="s">
        <v>444</v>
      </c>
      <c r="D129" t="str">
        <f>HYPERLINK("https://www.gov.uk/guidance/find-government-grants","https://www.gov.uk/guidance/find-government-grants")</f>
        <v>https://www.gov.uk/guidance/find-government-grants</v>
      </c>
    </row>
    <row r="130" spans="1:4" x14ac:dyDescent="0.25">
      <c r="A130" t="s">
        <v>104</v>
      </c>
      <c r="B130" t="s">
        <v>369</v>
      </c>
      <c r="C130" t="s">
        <v>451</v>
      </c>
      <c r="D130" t="str">
        <f>HYPERLINK("https://www.instrumentl.com/browse-grants/north-carolina/stem-education-grants","https://www.instrumentl.com/browse-grants/north-carolina/stem-education-grants")</f>
        <v>https://www.instrumentl.com/browse-grants/north-carolina/stem-education-grants</v>
      </c>
    </row>
    <row r="131" spans="1:4" x14ac:dyDescent="0.25">
      <c r="A131" t="s">
        <v>104</v>
      </c>
      <c r="B131" t="s">
        <v>369</v>
      </c>
      <c r="C131" t="s">
        <v>448</v>
      </c>
      <c r="D131" t="str">
        <f>HYPERLINK("https://www.iom3.org/award/stem-intervention-access-grants.html","https://www.iom3.org/award/stem-intervention-access-grants.html")</f>
        <v>https://www.iom3.org/award/stem-intervention-access-grants.html</v>
      </c>
    </row>
    <row r="132" spans="1:4" x14ac:dyDescent="0.25">
      <c r="A132" t="s">
        <v>104</v>
      </c>
      <c r="B132" t="s">
        <v>369</v>
      </c>
      <c r="C132" t="s">
        <v>445</v>
      </c>
      <c r="D132" t="str">
        <f>HYPERLINK("https://www.millenniumpoint.org.uk/stem-grants-2022/","https://www.millenniumpoint.org.uk/stem-grants-2022/")</f>
        <v>https://www.millenniumpoint.org.uk/stem-grants-2022/</v>
      </c>
    </row>
    <row r="133" spans="1:4" x14ac:dyDescent="0.25">
      <c r="A133" t="s">
        <v>104</v>
      </c>
      <c r="B133" t="s">
        <v>369</v>
      </c>
      <c r="C133" t="s">
        <v>447</v>
      </c>
      <c r="D133" t="str">
        <f>HYPERLINK("https://www.publicengagement.ac.uk/funding-opportunities","https://www.publicengagement.ac.uk/funding-opportunities")</f>
        <v>https://www.publicengagement.ac.uk/funding-opportunities</v>
      </c>
    </row>
    <row r="134" spans="1:4" x14ac:dyDescent="0.25">
      <c r="A134" t="s">
        <v>104</v>
      </c>
      <c r="B134" t="s">
        <v>220</v>
      </c>
      <c r="C134" t="s">
        <v>246</v>
      </c>
      <c r="D134" t="str">
        <f>HYPERLINK("https://www.simplek12.com/certification/grants-for-professional-teacher-development/","https://www.simplek12.com/certification/grants-for-professional-teacher-development/")</f>
        <v>https://www.simplek12.com/certification/grants-for-professional-teacher-development/</v>
      </c>
    </row>
    <row r="135" spans="1:4" x14ac:dyDescent="0.25">
      <c r="A135" t="s">
        <v>104</v>
      </c>
      <c r="B135" t="s">
        <v>220</v>
      </c>
      <c r="C135" t="s">
        <v>321</v>
      </c>
      <c r="D135" t="str">
        <f>HYPERLINK("https://www.maconk12.org/District/News/3945-10K-Grant-for-Robotics-Education.html","https://www.maconk12.org/District/News/3945-10K-Grant-for-Robotics-Education.html")</f>
        <v>https://www.maconk12.org/District/News/3945-10K-Grant-for-Robotics-Education.html</v>
      </c>
    </row>
    <row r="136" spans="1:4" x14ac:dyDescent="0.25">
      <c r="A136" t="s">
        <v>104</v>
      </c>
      <c r="B136" t="s">
        <v>220</v>
      </c>
      <c r="C136" t="s">
        <v>229</v>
      </c>
      <c r="D136" t="str">
        <f>HYPERLINK("https://www.robotlab.com/blog/6-educational-grants-that-could-let-you-bring-robotics-into-the-classroom","https://www.robotlab.com/blog/6-educational-grants-that-could-let-you-bring-robotics-into-the-classroom")</f>
        <v>https://www.robotlab.com/blog/6-educational-grants-that-could-let-you-bring-robotics-into-the-classroom</v>
      </c>
    </row>
    <row r="137" spans="1:4" x14ac:dyDescent="0.25">
      <c r="A137" t="s">
        <v>104</v>
      </c>
      <c r="B137" t="s">
        <v>220</v>
      </c>
      <c r="C137" t="s">
        <v>239</v>
      </c>
      <c r="D137" t="str">
        <f>HYPERLINK("https://blog.stem-supplies.com/700-grant-opportunities-to-fund-your-stem-classroom/","https://blog.stem-supplies.com/700-grant-opportunities-to-fund-your-stem-classroom/")</f>
        <v>https://blog.stem-supplies.com/700-grant-opportunities-to-fund-your-stem-classroom/</v>
      </c>
    </row>
    <row r="138" spans="1:4" x14ac:dyDescent="0.25">
      <c r="A138" t="s">
        <v>104</v>
      </c>
      <c r="B138" t="s">
        <v>220</v>
      </c>
      <c r="C138" t="s">
        <v>267</v>
      </c>
      <c r="D138" t="str">
        <f>HYPERLINK("https://www.eschoolnews.com/steam/2019/10/08/7-grants-to-fund-your-robotics-education-dreams/","https://www.eschoolnews.com/steam/2019/10/08/7-grants-to-fund-your-robotics-education-dreams/")</f>
        <v>https://www.eschoolnews.com/steam/2019/10/08/7-grants-to-fund-your-robotics-education-dreams/</v>
      </c>
    </row>
    <row r="139" spans="1:4" x14ac:dyDescent="0.25">
      <c r="A139" t="s">
        <v>104</v>
      </c>
      <c r="B139" t="s">
        <v>220</v>
      </c>
      <c r="C139" t="s">
        <v>333</v>
      </c>
      <c r="D139" t="str">
        <f>HYPERLINK("https://ieeexplore.ieee.org/abstract/document/1652373/","https://ieeexplore.ieee.org/abstract/document/1652373/")</f>
        <v>https://ieeexplore.ieee.org/abstract/document/1652373/</v>
      </c>
    </row>
    <row r="140" spans="1:4" x14ac:dyDescent="0.25">
      <c r="A140" t="s">
        <v>104</v>
      </c>
      <c r="B140" t="s">
        <v>220</v>
      </c>
      <c r="C140" t="s">
        <v>232</v>
      </c>
      <c r="D140" t="str">
        <f>HYPERLINK("https://sc.edu/uofsc/posts/2024/05/boccanfuso_edu_robot_carolinian.php","https://sc.edu/uofsc/posts/2024/05/boccanfuso_edu_robot_carolinian.php")</f>
        <v>https://sc.edu/uofsc/posts/2024/05/boccanfuso_edu_robot_carolinian.php</v>
      </c>
    </row>
    <row r="141" spans="1:4" x14ac:dyDescent="0.25">
      <c r="A141" t="s">
        <v>104</v>
      </c>
      <c r="B141" t="s">
        <v>220</v>
      </c>
      <c r="C141" t="s">
        <v>345</v>
      </c>
      <c r="D141" t="str">
        <f>HYPERLINK("https://dl.acm.org/doi/abs/10.1145/274790.274326","https://dl.acm.org/doi/abs/10.1145/274790.274326")</f>
        <v>https://dl.acm.org/doi/abs/10.1145/274790.274326</v>
      </c>
    </row>
    <row r="142" spans="1:4" x14ac:dyDescent="0.25">
      <c r="A142" t="s">
        <v>104</v>
      </c>
      <c r="B142" t="s">
        <v>220</v>
      </c>
      <c r="C142" t="s">
        <v>351</v>
      </c>
      <c r="D142" t="str">
        <f>HYPERLINK("https://ieeexplore.ieee.org/abstract/document/4339534/","https://ieeexplore.ieee.org/abstract/document/4339534/")</f>
        <v>https://ieeexplore.ieee.org/abstract/document/4339534/</v>
      </c>
    </row>
    <row r="143" spans="1:4" x14ac:dyDescent="0.25">
      <c r="A143" t="s">
        <v>104</v>
      </c>
      <c r="B143" t="s">
        <v>220</v>
      </c>
      <c r="C143" t="s">
        <v>248</v>
      </c>
      <c r="D143" t="str">
        <f>HYPERLINK("https://recf.org/grants/","https://recf.org/grants/")</f>
        <v>https://recf.org/grants/</v>
      </c>
    </row>
    <row r="144" spans="1:4" x14ac:dyDescent="0.25">
      <c r="A144" t="s">
        <v>104</v>
      </c>
      <c r="B144" t="s">
        <v>220</v>
      </c>
      <c r="C144" t="s">
        <v>259</v>
      </c>
      <c r="D144" t="str">
        <f>HYPERLINK("https://www.techpointyouth.org/robots","https://www.techpointyouth.org/robots")</f>
        <v>https://www.techpointyouth.org/robots</v>
      </c>
    </row>
    <row r="145" spans="1:4" x14ac:dyDescent="0.25">
      <c r="A145" t="s">
        <v>104</v>
      </c>
      <c r="B145" t="s">
        <v>220</v>
      </c>
      <c r="C145" t="s">
        <v>250</v>
      </c>
      <c r="D145" t="str">
        <f>HYPERLINK("https://www.aep.com/community/education","https://www.aep.com/community/education")</f>
        <v>https://www.aep.com/community/education</v>
      </c>
    </row>
    <row r="146" spans="1:4" x14ac:dyDescent="0.25">
      <c r="A146" t="s">
        <v>104</v>
      </c>
      <c r="B146" t="s">
        <v>220</v>
      </c>
      <c r="C146" t="s">
        <v>285</v>
      </c>
      <c r="D146" t="str">
        <f>HYPERLINK("https://stclairfoundation.org/all-port-huron-schools-now-have-robotics-programs-thanks-to-grant-from-phs-endowment-fund/","https://stclairfoundation.org/all-port-huron-schools-now-have-robotics-programs-thanks-to-grant-from-phs-endowment-fund/")</f>
        <v>https://stclairfoundation.org/all-port-huron-schools-now-have-robotics-programs-thanks-to-grant-from-phs-endowment-fund/</v>
      </c>
    </row>
    <row r="147" spans="1:4" x14ac:dyDescent="0.25">
      <c r="A147" t="s">
        <v>104</v>
      </c>
      <c r="B147" t="s">
        <v>220</v>
      </c>
      <c r="C147" t="s">
        <v>223</v>
      </c>
      <c r="D147" t="str">
        <f>HYPERLINK("https://www.aboutamazon.com/news/community/amazon-funds-robotics-grants-for-100-schools","https://www.aboutamazon.com/news/community/amazon-funds-robotics-grants-for-100-schools")</f>
        <v>https://www.aboutamazon.com/news/community/amazon-funds-robotics-grants-for-100-schools</v>
      </c>
    </row>
    <row r="148" spans="1:4" x14ac:dyDescent="0.25">
      <c r="A148" t="s">
        <v>104</v>
      </c>
      <c r="B148" t="s">
        <v>220</v>
      </c>
      <c r="C148" t="s">
        <v>236</v>
      </c>
      <c r="D148" t="str">
        <f>HYPERLINK("https://press.aboutamazon.com/2019/4/amazon-provides-robotics-grants-to-100-schools-in-underserved-and-underrepresented-communities-across-the-country-to-inspire-next-generation-of-computer-scientists","https://press.aboutamazon.com/2019/4/amazon-provides-robotics-grants-to-100-schools-in-underserved-and-underrepresented-communities-across-the-country-to-inspire-next-generation-of-computer-scientists")</f>
        <v>https://press.aboutamazon.com/2019/4/amazon-provides-robotics-grants-to-100-schools-in-underserved-and-underrepresented-communities-across-the-country-to-inspire-next-generation-of-computer-scientists</v>
      </c>
    </row>
    <row r="149" spans="1:4" x14ac:dyDescent="0.25">
      <c r="A149" t="s">
        <v>104</v>
      </c>
      <c r="B149" t="s">
        <v>220</v>
      </c>
      <c r="C149" t="s">
        <v>221</v>
      </c>
      <c r="D149" t="str">
        <f>HYPERLINK("https://www.techpointyouth.org/robotgrant","https://www.techpointyouth.org/robotgrant")</f>
        <v>https://www.techpointyouth.org/robotgrant</v>
      </c>
    </row>
    <row r="150" spans="1:4" x14ac:dyDescent="0.25">
      <c r="A150" t="s">
        <v>104</v>
      </c>
      <c r="B150" t="s">
        <v>220</v>
      </c>
      <c r="C150" t="s">
        <v>249</v>
      </c>
      <c r="D150" t="str">
        <f>HYPERLINK("https://ruraltechfund.org/apply-for-grants/","https://ruraltechfund.org/apply-for-grants/")</f>
        <v>https://ruraltechfund.org/apply-for-grants/</v>
      </c>
    </row>
    <row r="151" spans="1:4" x14ac:dyDescent="0.25">
      <c r="A151" t="s">
        <v>104</v>
      </c>
      <c r="B151" t="s">
        <v>220</v>
      </c>
      <c r="C151" t="s">
        <v>275</v>
      </c>
      <c r="D151" t="str">
        <f>HYPERLINK("https://ced.ncsu.edu/news/2024/05/07/assistant-professor-of-technology-engineering-and-design-education-daniel-kelly-uses-career-grant-to-blend-robotics-and-social-emotional-learning-to-improve-education-for-students-in-the-juvenile-ju/","https://ced.ncsu.edu/news/2024/05/07/assistant-professor-of-technology-engineering-and-design-education-daniel-kelly-uses-career-grant-to-blend-robotics-and-social-emotional-learning-to-improve-education-for-students-in-the-juvenile-ju/")</f>
        <v>https://ced.ncsu.edu/news/2024/05/07/assistant-professor-of-technology-engineering-and-design-education-daniel-kelly-uses-career-grant-to-blend-robotics-and-social-emotional-learning-to-improve-education-for-students-in-the-juvenile-ju/</v>
      </c>
    </row>
    <row r="152" spans="1:4" x14ac:dyDescent="0.25">
      <c r="A152" t="s">
        <v>104</v>
      </c>
      <c r="B152" t="s">
        <v>220</v>
      </c>
      <c r="C152" t="s">
        <v>258</v>
      </c>
      <c r="D152" t="str">
        <f>HYPERLINK("https://robotical.io/about/educators/funding-and-grants/australia-funding-sources-grants/","https://robotical.io/about/educators/funding-and-grants/australia-funding-sources-grants/")</f>
        <v>https://robotical.io/about/educators/funding-and-grants/australia-funding-sources-grants/</v>
      </c>
    </row>
    <row r="153" spans="1:4" x14ac:dyDescent="0.25">
      <c r="A153" t="s">
        <v>104</v>
      </c>
      <c r="B153" t="s">
        <v>220</v>
      </c>
      <c r="C153" t="s">
        <v>347</v>
      </c>
      <c r="D153" t="str">
        <f>HYPERLINK("https://asee-ncs.org/proceedings/2016/faculty_regular_papers/2016_ASEE_NCS_paper_4.pdf","https://asee-ncs.org/proceedings/2016/faculty_regular_papers/2016_ASEE_NCS_paper_4.pdf")</f>
        <v>https://asee-ncs.org/proceedings/2016/faculty_regular_papers/2016_ASEE_NCS_paper_4.pdf</v>
      </c>
    </row>
    <row r="154" spans="1:4" x14ac:dyDescent="0.25">
      <c r="A154" t="s">
        <v>104</v>
      </c>
      <c r="B154" t="s">
        <v>220</v>
      </c>
      <c r="C154" t="s">
        <v>341</v>
      </c>
      <c r="D154" t="str">
        <f>HYPERLINK("https://peer.asee.org/board-211-building-a-project-based-learning-for-rural-alabama-stem-middle-school-teachers-in-machine-learning-and-robotics-ret-site-year-2","https://peer.asee.org/board-211-building-a-project-based-learning-for-rural-alabama-stem-middle-school-teachers-in-machine-learning-and-robotics-ret-site-year-2")</f>
        <v>https://peer.asee.org/board-211-building-a-project-based-learning-for-rural-alabama-stem-middle-school-teachers-in-machine-learning-and-robotics-ret-site-year-2</v>
      </c>
    </row>
    <row r="155" spans="1:4" x14ac:dyDescent="0.25">
      <c r="A155" t="s">
        <v>104</v>
      </c>
      <c r="B155" t="s">
        <v>220</v>
      </c>
      <c r="C155" t="s">
        <v>228</v>
      </c>
      <c r="D155" t="str">
        <f>HYPERLINK("https://stemfinity.com/products/botley%C2%AE-2-0-the-coding-robot-classroom-bundle","https://stemfinity.com/products/botley%C2%AE-2-0-the-coding-robot-classroom-bundle")</f>
        <v>https://stemfinity.com/products/botley%C2%AE-2-0-the-coding-robot-classroom-bundle</v>
      </c>
    </row>
    <row r="156" spans="1:4" x14ac:dyDescent="0.25">
      <c r="A156" t="s">
        <v>104</v>
      </c>
      <c r="B156" t="s">
        <v>220</v>
      </c>
      <c r="C156" t="s">
        <v>353</v>
      </c>
      <c r="D156" t="str">
        <f>HYPERLINK("https://search.proquest.com/openview/e5f07b41945d8baac282da9d76704f1d/1?pq-origsite=gscholar&amp;cbl=38018","https://search.proquest.com/openview/e5f07b41945d8baac282da9d76704f1d/1?pq-origsite=gscholar&amp;cbl=38018")</f>
        <v>https://search.proquest.com/openview/e5f07b41945d8baac282da9d76704f1d/1?pq-origsite=gscholar&amp;cbl=38018</v>
      </c>
    </row>
    <row r="157" spans="1:4" x14ac:dyDescent="0.25">
      <c r="A157" t="s">
        <v>104</v>
      </c>
      <c r="B157" t="s">
        <v>220</v>
      </c>
      <c r="C157" t="s">
        <v>343</v>
      </c>
      <c r="D157" t="str">
        <f>HYPERLINK("http://mechatronics.engineering.nyu.edu/pdf/building-trust-in-robots-in-robotics-focused-stem-education-under-tpack-framework-in-middle-schools.pdf","http://mechatronics.engineering.nyu.edu/pdf/building-trust-in-robots-in-robotics-focused-stem-education-under-tpack-framework-in-middle-schools.pdf")</f>
        <v>http://mechatronics.engineering.nyu.edu/pdf/building-trust-in-robots-in-robotics-focused-stem-education-under-tpack-framework-in-middle-schools.pdf</v>
      </c>
    </row>
    <row r="158" spans="1:4" x14ac:dyDescent="0.25">
      <c r="A158" t="s">
        <v>104</v>
      </c>
      <c r="B158" t="s">
        <v>220</v>
      </c>
      <c r="C158" t="s">
        <v>325</v>
      </c>
      <c r="D158" t="str">
        <f>HYPERLINK("https://ucm.calpoly.edu/news/cal-poly-wins-700000-federal-grant-study-social-impacts-ai-kitchens-and-robot-cooks","https://ucm.calpoly.edu/news/cal-poly-wins-700000-federal-grant-study-social-impacts-ai-kitchens-and-robot-cooks")</f>
        <v>https://ucm.calpoly.edu/news/cal-poly-wins-700000-federal-grant-study-social-impacts-ai-kitchens-and-robot-cooks</v>
      </c>
    </row>
    <row r="159" spans="1:4" x14ac:dyDescent="0.25">
      <c r="A159" t="s">
        <v>104</v>
      </c>
      <c r="B159" t="s">
        <v>220</v>
      </c>
      <c r="C159" t="s">
        <v>272</v>
      </c>
      <c r="D159" t="str">
        <f>HYPERLINK("https://occf.org/rural/","https://occf.org/rural/")</f>
        <v>https://occf.org/rural/</v>
      </c>
    </row>
    <row r="160" spans="1:4" x14ac:dyDescent="0.25">
      <c r="A160" t="s">
        <v>104</v>
      </c>
      <c r="B160" t="s">
        <v>220</v>
      </c>
      <c r="C160" t="s">
        <v>315</v>
      </c>
      <c r="D160" t="str">
        <f>HYPERLINK("https://www.tempeunion.org/site/default.aspx?PageType=3&amp;DomainID=10&amp;ModuleInstanceID=7892&amp;ViewID=6446EE88-D30C-497E-9316-3F8874B3E108&amp;RenderLoc=0&amp;FlexDataID=40130&amp;PageID=13&amp;Comments=true","https://www.tempeunion.org/site/default.aspx?PageType=3&amp;DomainID=10&amp;ModuleInstanceID=7892&amp;ViewID=6446EE88-D30C-497E-9316-3F8874B3E108&amp;RenderLoc=0&amp;FlexDataID=40130&amp;PageID=13&amp;Comments=true")</f>
        <v>https://www.tempeunion.org/site/default.aspx?PageType=3&amp;DomainID=10&amp;ModuleInstanceID=7892&amp;ViewID=6446EE88-D30C-497E-9316-3F8874B3E108&amp;RenderLoc=0&amp;FlexDataID=40130&amp;PageID=13&amp;Comments=true</v>
      </c>
    </row>
    <row r="161" spans="1:4" x14ac:dyDescent="0.25">
      <c r="A161" t="s">
        <v>104</v>
      </c>
      <c r="B161" t="s">
        <v>220</v>
      </c>
      <c r="C161" t="s">
        <v>346</v>
      </c>
      <c r="D161" t="str">
        <f>HYPERLINK("https://dl.acm.org/doi/abs/10.5898/jhri.1.1.tanaka","https://dl.acm.org/doi/abs/10.5898/jhri.1.1.tanaka")</f>
        <v>https://dl.acm.org/doi/abs/10.5898/jhri.1.1.tanaka</v>
      </c>
    </row>
    <row r="162" spans="1:4" x14ac:dyDescent="0.25">
      <c r="A162" t="s">
        <v>104</v>
      </c>
      <c r="B162" t="s">
        <v>220</v>
      </c>
      <c r="C162" t="s">
        <v>227</v>
      </c>
      <c r="D162" t="str">
        <f>HYPERLINK("https://www.elkhornfoundation.org/classroom-grants/","https://www.elkhornfoundation.org/classroom-grants/")</f>
        <v>https://www.elkhornfoundation.org/classroom-grants/</v>
      </c>
    </row>
    <row r="163" spans="1:4" x14ac:dyDescent="0.25">
      <c r="A163" t="s">
        <v>104</v>
      </c>
      <c r="B163" t="s">
        <v>220</v>
      </c>
      <c r="C163" t="s">
        <v>254</v>
      </c>
      <c r="D163" t="str">
        <f>HYPERLINK("https://www.psusdfoundation.net/classroomgrants","https://www.psusdfoundation.net/classroomgrants")</f>
        <v>https://www.psusdfoundation.net/classroomgrants</v>
      </c>
    </row>
    <row r="164" spans="1:4" x14ac:dyDescent="0.25">
      <c r="A164" t="s">
        <v>104</v>
      </c>
      <c r="B164" t="s">
        <v>220</v>
      </c>
      <c r="C164" t="s">
        <v>226</v>
      </c>
      <c r="D164" t="str">
        <f>HYPERLINK("https://kinderlabrobotics.com/kibo/which/classroom-packages/","https://kinderlabrobotics.com/kibo/which/classroom-packages/")</f>
        <v>https://kinderlabrobotics.com/kibo/which/classroom-packages/</v>
      </c>
    </row>
    <row r="165" spans="1:4" x14ac:dyDescent="0.25">
      <c r="A165" t="s">
        <v>104</v>
      </c>
      <c r="B165" t="s">
        <v>220</v>
      </c>
      <c r="C165" t="s">
        <v>261</v>
      </c>
      <c r="D165" t="str">
        <f>HYPERLINK("https://www.k-state.edu/research/about/seek/spring-2021/college-of-education-brings-research-robots-together.html","https://www.k-state.edu/research/about/seek/spring-2021/college-of-education-brings-research-robots-together.html")</f>
        <v>https://www.k-state.edu/research/about/seek/spring-2021/college-of-education-brings-research-robots-together.html</v>
      </c>
    </row>
    <row r="166" spans="1:4" x14ac:dyDescent="0.25">
      <c r="A166" t="s">
        <v>104</v>
      </c>
      <c r="B166" t="s">
        <v>220</v>
      </c>
      <c r="C166" t="s">
        <v>74</v>
      </c>
      <c r="D166" t="str">
        <f>HYPERLINK("https://www.techplan.org/edtech-initiatives/rdi/competitive-99h-robotics-competition-grant/","https://www.techplan.org/edtech-initiatives/rdi/competitive-99h-robotics-competition-grant/")</f>
        <v>https://www.techplan.org/edtech-initiatives/rdi/competitive-99h-robotics-competition-grant/</v>
      </c>
    </row>
    <row r="167" spans="1:4" x14ac:dyDescent="0.25">
      <c r="A167" t="s">
        <v>104</v>
      </c>
      <c r="B167" t="s">
        <v>220</v>
      </c>
      <c r="C167" t="s">
        <v>286</v>
      </c>
      <c r="D167" t="str">
        <f>HYPERLINK("https://brevardschoolsfoundation.org/news/continuing-to-support-innovation-through-bright-ideas-classroom-grants","https://brevardschoolsfoundation.org/news/continuing-to-support-innovation-through-bright-ideas-classroom-grants")</f>
        <v>https://brevardschoolsfoundation.org/news/continuing-to-support-innovation-through-bright-ideas-classroom-grants</v>
      </c>
    </row>
    <row r="168" spans="1:4" x14ac:dyDescent="0.25">
      <c r="A168" t="s">
        <v>104</v>
      </c>
      <c r="B168" t="s">
        <v>220</v>
      </c>
      <c r="C168" t="s">
        <v>253</v>
      </c>
      <c r="D168" t="str">
        <f>HYPERLINK("https://www.tempeunion.org/site/default.aspx?PageType=3&amp;DomainID=4&amp;ModuleInstanceID=7890&amp;ViewID=6446EE88-D30C-497E-9316-3F8874B3E108&amp;RenderLoc=0&amp;FlexDataID=40129&amp;PageID=1&amp;Comments=true","https://www.tempeunion.org/site/default.aspx?PageType=3&amp;DomainID=4&amp;ModuleInstanceID=7890&amp;ViewID=6446EE88-D30C-497E-9316-3F8874B3E108&amp;RenderLoc=0&amp;FlexDataID=40129&amp;PageID=1&amp;Comments=true")</f>
        <v>https://www.tempeunion.org/site/default.aspx?PageType=3&amp;DomainID=4&amp;ModuleInstanceID=7890&amp;ViewID=6446EE88-D30C-497E-9316-3F8874B3E108&amp;RenderLoc=0&amp;FlexDataID=40129&amp;PageID=1&amp;Comments=true</v>
      </c>
    </row>
    <row r="169" spans="1:4" x14ac:dyDescent="0.25">
      <c r="A169" t="s">
        <v>104</v>
      </c>
      <c r="B169" t="s">
        <v>220</v>
      </c>
      <c r="C169" t="s">
        <v>253</v>
      </c>
      <c r="D169" t="str">
        <f>HYPERLINK("https://www.tempeunion.org/site/default.aspx?PageType=3&amp;ModuleInstanceID=970&amp;ViewID=7b97f7ed-8e5e-4120-848f-a8b4987d588f&amp;RenderLoc=0&amp;FlexDataID=40128&amp;PageID=618","https://www.tempeunion.org/site/default.aspx?PageType=3&amp;ModuleInstanceID=970&amp;ViewID=7b97f7ed-8e5e-4120-848f-a8b4987d588f&amp;RenderLoc=0&amp;FlexDataID=40128&amp;PageID=618")</f>
        <v>https://www.tempeunion.org/site/default.aspx?PageType=3&amp;ModuleInstanceID=970&amp;ViewID=7b97f7ed-8e5e-4120-848f-a8b4987d588f&amp;RenderLoc=0&amp;FlexDataID=40128&amp;PageID=618</v>
      </c>
    </row>
    <row r="170" spans="1:4" x14ac:dyDescent="0.25">
      <c r="A170" t="s">
        <v>104</v>
      </c>
      <c r="B170" t="s">
        <v>220</v>
      </c>
      <c r="C170" t="s">
        <v>241</v>
      </c>
      <c r="D170" t="str">
        <f>HYPERLINK("https://www.barnabasrobotics.com/","https://www.barnabasrobotics.com/")</f>
        <v>https://www.barnabasrobotics.com/</v>
      </c>
    </row>
    <row r="171" spans="1:4" x14ac:dyDescent="0.25">
      <c r="A171" t="s">
        <v>104</v>
      </c>
      <c r="B171" t="s">
        <v>220</v>
      </c>
      <c r="C171" t="s">
        <v>273</v>
      </c>
      <c r="D171" t="str">
        <f>HYPERLINK("https://datacenters.atmeta.com/community-action-grants/","https://datacenters.atmeta.com/community-action-grants/")</f>
        <v>https://datacenters.atmeta.com/community-action-grants/</v>
      </c>
    </row>
    <row r="172" spans="1:4" x14ac:dyDescent="0.25">
      <c r="A172" t="s">
        <v>104</v>
      </c>
      <c r="B172" t="s">
        <v>220</v>
      </c>
      <c r="C172" t="s">
        <v>348</v>
      </c>
      <c r="D172" t="str">
        <f>HYPERLINK("https://www.jstage.jst.go.jp/article/jrobomech/29/6/29_980/_article/-char/ja/","https://www.jstage.jst.go.jp/article/jrobomech/29/6/29_980/_article/-char/ja/")</f>
        <v>https://www.jstage.jst.go.jp/article/jrobomech/29/6/29_980/_article/-char/ja/</v>
      </c>
    </row>
    <row r="173" spans="1:4" x14ac:dyDescent="0.25">
      <c r="A173" t="s">
        <v>104</v>
      </c>
      <c r="B173" t="s">
        <v>220</v>
      </c>
      <c r="C173" t="s">
        <v>320</v>
      </c>
      <c r="D173" t="str">
        <f>HYPERLINK("https://www.in.gov/doe/grants/","https://www.in.gov/doe/grants/")</f>
        <v>https://www.in.gov/doe/grants/</v>
      </c>
    </row>
    <row r="174" spans="1:4" x14ac:dyDescent="0.25">
      <c r="A174" t="s">
        <v>104</v>
      </c>
      <c r="B174" t="s">
        <v>220</v>
      </c>
      <c r="C174" t="s">
        <v>295</v>
      </c>
      <c r="D174" t="str">
        <f>HYPERLINK("https://edu.google.com/intl/ALL_my/giving/","https://edu.google.com/intl/ALL_my/giving/")</f>
        <v>https://edu.google.com/intl/ALL_my/giving/</v>
      </c>
    </row>
    <row r="175" spans="1:4" x14ac:dyDescent="0.25">
      <c r="A175" t="s">
        <v>104</v>
      </c>
      <c r="B175" t="s">
        <v>220</v>
      </c>
      <c r="C175" t="s">
        <v>289</v>
      </c>
      <c r="D175" t="str">
        <f>HYPERLINK("https://csr.honda.com/community/education/","https://csr.honda.com/community/education/")</f>
        <v>https://csr.honda.com/community/education/</v>
      </c>
    </row>
    <row r="176" spans="1:4" x14ac:dyDescent="0.25">
      <c r="A176" t="s">
        <v>104</v>
      </c>
      <c r="B176" t="s">
        <v>220</v>
      </c>
      <c r="C176" t="s">
        <v>355</v>
      </c>
    </row>
    <row r="177" spans="1:4" x14ac:dyDescent="0.25">
      <c r="A177" t="s">
        <v>104</v>
      </c>
      <c r="B177" t="s">
        <v>220</v>
      </c>
      <c r="C177" t="s">
        <v>282</v>
      </c>
      <c r="D177" t="str">
        <f>HYPERLINK("https://aptmfg.com/fanuc-education-grant/","https://aptmfg.com/fanuc-education-grant/")</f>
        <v>https://aptmfg.com/fanuc-education-grant/</v>
      </c>
    </row>
    <row r="178" spans="1:4" x14ac:dyDescent="0.25">
      <c r="A178" t="s">
        <v>104</v>
      </c>
      <c r="B178" t="s">
        <v>220</v>
      </c>
      <c r="C178" t="s">
        <v>322</v>
      </c>
      <c r="D178" t="str">
        <f>HYPERLINK("https://www.fhsu.edu/news/2024/09/fhsu-secures-nasa-grants-to-boost-robotics-and-renewable-energy-training-for-western-kansas-teachers","https://www.fhsu.edu/news/2024/09/fhsu-secures-nasa-grants-to-boost-robotics-and-renewable-energy-training-for-western-kansas-teachers")</f>
        <v>https://www.fhsu.edu/news/2024/09/fhsu-secures-nasa-grants-to-boost-robotics-and-renewable-energy-training-for-western-kansas-teachers</v>
      </c>
    </row>
    <row r="179" spans="1:4" x14ac:dyDescent="0.25">
      <c r="A179" t="s">
        <v>104</v>
      </c>
      <c r="B179" t="s">
        <v>220</v>
      </c>
      <c r="C179" t="s">
        <v>234</v>
      </c>
      <c r="D179" t="str">
        <f>HYPERLINK("https://stemfinity.com/products/finch-robot-classroom-flock-with-micro-bit","https://stemfinity.com/products/finch-robot-classroom-flock-with-micro-bit")</f>
        <v>https://stemfinity.com/products/finch-robot-classroom-flock-with-micro-bit</v>
      </c>
    </row>
    <row r="180" spans="1:4" x14ac:dyDescent="0.25">
      <c r="A180" t="s">
        <v>104</v>
      </c>
      <c r="B180" t="s">
        <v>220</v>
      </c>
      <c r="C180" t="s">
        <v>303</v>
      </c>
      <c r="D180" t="str">
        <f>HYPERLINK("https://droneblocks.io/find-funding-for-droneblocks-stem-drone-programs/?srsltid=AfmBOooCAgPnIMKX8lyr97QdpJBaxCTa5yvcUMpBwnPD8qrBaf7mgQZm","https://droneblocks.io/find-funding-for-droneblocks-stem-drone-programs/?srsltid=AfmBOooCAgPnIMKX8lyr97QdpJBaxCTa5yvcUMpBwnPD8qrBaf7mgQZm")</f>
        <v>https://droneblocks.io/find-funding-for-droneblocks-stem-drone-programs/?srsltid=AfmBOooCAgPnIMKX8lyr97QdpJBaxCTa5yvcUMpBwnPD8qrBaf7mgQZm</v>
      </c>
    </row>
    <row r="181" spans="1:4" x14ac:dyDescent="0.25">
      <c r="A181" t="s">
        <v>104</v>
      </c>
      <c r="B181" t="s">
        <v>220</v>
      </c>
      <c r="C181" t="s">
        <v>269</v>
      </c>
      <c r="D181" t="str">
        <f>HYPERLINK("https://droneblocks.io/find-funding-for-droneblocks-stem-drone-programs/","https://droneblocks.io/find-funding-for-droneblocks-stem-drone-programs/")</f>
        <v>https://droneblocks.io/find-funding-for-droneblocks-stem-drone-programs/</v>
      </c>
    </row>
    <row r="182" spans="1:4" x14ac:dyDescent="0.25">
      <c r="A182" t="s">
        <v>104</v>
      </c>
      <c r="B182" t="s">
        <v>220</v>
      </c>
      <c r="C182" t="s">
        <v>304</v>
      </c>
      <c r="D182" t="str">
        <f>HYPERLINK("https://kb.vex.com/hc/en-us/articles/360050315232-Funding-and-Grants-for-Robotics-Programs","https://kb.vex.com/hc/en-us/articles/360050315232-Funding-and-Grants-for-Robotics-Programs")</f>
        <v>https://kb.vex.com/hc/en-us/articles/360050315232-Funding-and-Grants-for-Robotics-Programs</v>
      </c>
    </row>
    <row r="183" spans="1:4" x14ac:dyDescent="0.25">
      <c r="A183" t="s">
        <v>104</v>
      </c>
      <c r="B183" t="s">
        <v>220</v>
      </c>
      <c r="C183" t="s">
        <v>287</v>
      </c>
      <c r="D183" t="str">
        <f>HYPERLINK("https://www.nifa.usda.gov/grants/funding-opportunities","https://www.nifa.usda.gov/grants/funding-opportunities")</f>
        <v>https://www.nifa.usda.gov/grants/funding-opportunities</v>
      </c>
    </row>
    <row r="184" spans="1:4" x14ac:dyDescent="0.25">
      <c r="A184" t="s">
        <v>104</v>
      </c>
      <c r="B184" t="s">
        <v>220</v>
      </c>
      <c r="C184" t="s">
        <v>298</v>
      </c>
      <c r="D184" t="str">
        <f>HYPERLINK("https://robotical.io/about/educators/funding-and-grants/","https://robotical.io/about/educators/funding-and-grants/")</f>
        <v>https://robotical.io/about/educators/funding-and-grants/</v>
      </c>
    </row>
    <row r="185" spans="1:4" x14ac:dyDescent="0.25">
      <c r="A185" t="s">
        <v>104</v>
      </c>
      <c r="B185" t="s">
        <v>220</v>
      </c>
      <c r="C185" t="s">
        <v>349</v>
      </c>
      <c r="D185" t="str">
        <f>HYPERLINK("https://dl.acm.org/doi/abs/10.1145/3434074.3447203","https://dl.acm.org/doi/abs/10.1145/3434074.3447203")</f>
        <v>https://dl.acm.org/doi/abs/10.1145/3434074.3447203</v>
      </c>
    </row>
    <row r="186" spans="1:4" x14ac:dyDescent="0.25">
      <c r="A186" t="s">
        <v>104</v>
      </c>
      <c r="B186" t="s">
        <v>220</v>
      </c>
      <c r="C186" t="s">
        <v>368</v>
      </c>
      <c r="D186" t="str">
        <f>HYPERLINK("https://www.venturesfoundation.org/2013/12/girls-robotics-club-brings-out-leaders-and-confidence/","https://www.venturesfoundation.org/2013/12/girls-robotics-club-brings-out-leaders-and-confidence/")</f>
        <v>https://www.venturesfoundation.org/2013/12/girls-robotics-club-brings-out-leaders-and-confidence/</v>
      </c>
    </row>
    <row r="187" spans="1:4" x14ac:dyDescent="0.25">
      <c r="A187" t="s">
        <v>104</v>
      </c>
      <c r="B187" t="s">
        <v>220</v>
      </c>
      <c r="C187" t="s">
        <v>314</v>
      </c>
      <c r="D187" t="str">
        <f>HYPERLINK("https://www.gmc.edu/gmc-prep-school-teacher-awarded-grant-for-robotics-program/","https://www.gmc.edu/gmc-prep-school-teacher-awarded-grant-for-robotics-program/")</f>
        <v>https://www.gmc.edu/gmc-prep-school-teacher-awarded-grant-for-robotics-program/</v>
      </c>
    </row>
    <row r="188" spans="1:4" x14ac:dyDescent="0.25">
      <c r="A188" t="s">
        <v>104</v>
      </c>
      <c r="B188" t="s">
        <v>220</v>
      </c>
      <c r="C188" t="s">
        <v>338</v>
      </c>
      <c r="D188" t="str">
        <f>HYPERLINK("https://dl.acm.org/doi/abs/10.1145/3325210","https://dl.acm.org/doi/abs/10.1145/3325210")</f>
        <v>https://dl.acm.org/doi/abs/10.1145/3325210</v>
      </c>
    </row>
    <row r="189" spans="1:4" x14ac:dyDescent="0.25">
      <c r="A189" t="s">
        <v>104</v>
      </c>
      <c r="B189" t="s">
        <v>220</v>
      </c>
      <c r="C189" t="s">
        <v>260</v>
      </c>
      <c r="D189" t="str">
        <f>HYPERLINK("https://www.google.com/nonprofits/eligibility/","https://www.google.com/nonprofits/eligibility/")</f>
        <v>https://www.google.com/nonprofits/eligibility/</v>
      </c>
    </row>
    <row r="190" spans="1:4" x14ac:dyDescent="0.25">
      <c r="A190" t="s">
        <v>104</v>
      </c>
      <c r="B190" t="s">
        <v>220</v>
      </c>
      <c r="C190" t="s">
        <v>225</v>
      </c>
      <c r="D190" t="str">
        <f>HYPERLINK("https://thejournal.com/articles/2023/10/11/google-grants-10-million-to-robotics-programs-for-middle-schoolers.aspx","https://thejournal.com/articles/2023/10/11/google-grants-10-million-to-robotics-programs-for-middle-schoolers.aspx")</f>
        <v>https://thejournal.com/articles/2023/10/11/google-grants-10-million-to-robotics-programs-for-middle-schoolers.aspx</v>
      </c>
    </row>
    <row r="191" spans="1:4" x14ac:dyDescent="0.25">
      <c r="A191" t="s">
        <v>104</v>
      </c>
      <c r="B191" t="s">
        <v>220</v>
      </c>
      <c r="C191" t="s">
        <v>222</v>
      </c>
      <c r="D191" t="str">
        <f>HYPERLINK("https://blog.google/outreach-initiatives/google-org/google-grants-robotics-ai-education/","https://blog.google/outreach-initiatives/google-org/google-grants-robotics-ai-education/")</f>
        <v>https://blog.google/outreach-initiatives/google-org/google-grants-robotics-ai-education/</v>
      </c>
    </row>
    <row r="192" spans="1:4" x14ac:dyDescent="0.25">
      <c r="A192" t="s">
        <v>104</v>
      </c>
      <c r="B192" t="s">
        <v>220</v>
      </c>
      <c r="C192" t="s">
        <v>268</v>
      </c>
      <c r="D192" t="str">
        <f>HYPERLINK("https://learn.birdbraintechnologies.com/grant-assistance/","https://learn.birdbraintechnologies.com/grant-assistance/")</f>
        <v>https://learn.birdbraintechnologies.com/grant-assistance/</v>
      </c>
    </row>
    <row r="193" spans="1:4" x14ac:dyDescent="0.25">
      <c r="A193" t="s">
        <v>104</v>
      </c>
      <c r="B193" t="s">
        <v>220</v>
      </c>
      <c r="C193" t="s">
        <v>288</v>
      </c>
      <c r="D193" t="str">
        <f>HYPERLINK("https://www.dpi.nc.gov/news/press-releases/2022/07/13/grant-expands-robotics-opportunities-more-nc-students","https://www.dpi.nc.gov/news/press-releases/2022/07/13/grant-expands-robotics-opportunities-more-nc-students")</f>
        <v>https://www.dpi.nc.gov/news/press-releases/2022/07/13/grant-expands-robotics-opportunities-more-nc-students</v>
      </c>
    </row>
    <row r="194" spans="1:4" x14ac:dyDescent="0.25">
      <c r="A194" t="s">
        <v>104</v>
      </c>
      <c r="B194" t="s">
        <v>220</v>
      </c>
      <c r="C194" t="s">
        <v>307</v>
      </c>
      <c r="D194" t="str">
        <f>HYPERLINK("https://modrobotics.com/grants/","https://modrobotics.com/grants/")</f>
        <v>https://modrobotics.com/grants/</v>
      </c>
    </row>
    <row r="195" spans="1:4" x14ac:dyDescent="0.25">
      <c r="A195" t="s">
        <v>104</v>
      </c>
      <c r="B195" t="s">
        <v>220</v>
      </c>
      <c r="C195" t="s">
        <v>247</v>
      </c>
      <c r="D195" t="str">
        <f>HYPERLINK("https://www.education.nh.gov/who-we-are/division-of-learner-support/grant-funding-opportunities","https://www.education.nh.gov/who-we-are/division-of-learner-support/grant-funding-opportunities")</f>
        <v>https://www.education.nh.gov/who-we-are/division-of-learner-support/grant-funding-opportunities</v>
      </c>
    </row>
    <row r="196" spans="1:4" x14ac:dyDescent="0.25">
      <c r="A196" t="s">
        <v>104</v>
      </c>
      <c r="B196" t="s">
        <v>220</v>
      </c>
      <c r="C196" t="s">
        <v>291</v>
      </c>
      <c r="D196" t="str">
        <f>HYPERLINK("https://wvde.us/steammindedwv/grant-opportunities/","https://wvde.us/steammindedwv/grant-opportunities/")</f>
        <v>https://wvde.us/steammindedwv/grant-opportunities/</v>
      </c>
    </row>
    <row r="197" spans="1:4" x14ac:dyDescent="0.25">
      <c r="A197" t="s">
        <v>104</v>
      </c>
      <c r="B197" t="s">
        <v>220</v>
      </c>
      <c r="C197" t="s">
        <v>329</v>
      </c>
      <c r="D197" t="str">
        <f>HYPERLINK("https://www.theaaea.org/page/grants","https://www.theaaea.org/page/grants")</f>
        <v>https://www.theaaea.org/page/grants</v>
      </c>
    </row>
    <row r="198" spans="1:4" x14ac:dyDescent="0.25">
      <c r="A198" t="s">
        <v>104</v>
      </c>
      <c r="B198" t="s">
        <v>220</v>
      </c>
      <c r="C198" t="s">
        <v>46</v>
      </c>
      <c r="D198" t="str">
        <f>HYPERLINK("https://www.firstinspires.org/robotics/team-grants","https://www.firstinspires.org/robotics/team-grants")</f>
        <v>https://www.firstinspires.org/robotics/team-grants</v>
      </c>
    </row>
    <row r="199" spans="1:4" x14ac:dyDescent="0.25">
      <c r="A199" t="s">
        <v>104</v>
      </c>
      <c r="B199" t="s">
        <v>220</v>
      </c>
      <c r="C199" t="s">
        <v>331</v>
      </c>
      <c r="D199" t="str">
        <f>HYPERLINK("https://bctv.mystagingwebsite.com/2021/03/10/grant-program-brings-robotics-virtual-reality-and-more-to-berks-county-classrooms/","https://bctv.mystagingwebsite.com/2021/03/10/grant-program-brings-robotics-virtual-reality-and-more-to-berks-county-classrooms/")</f>
        <v>https://bctv.mystagingwebsite.com/2021/03/10/grant-program-brings-robotics-virtual-reality-and-more-to-berks-county-classrooms/</v>
      </c>
    </row>
    <row r="200" spans="1:4" x14ac:dyDescent="0.25">
      <c r="A200" t="s">
        <v>104</v>
      </c>
      <c r="B200" t="s">
        <v>220</v>
      </c>
      <c r="C200" t="s">
        <v>278</v>
      </c>
      <c r="D200" t="str">
        <f>HYPERLINK("https://www.pitsco.com/pages/experience-pitsco-grants-and-funding","https://www.pitsco.com/pages/experience-pitsco-grants-and-funding")</f>
        <v>https://www.pitsco.com/pages/experience-pitsco-grants-and-funding</v>
      </c>
    </row>
    <row r="201" spans="1:4" x14ac:dyDescent="0.25">
      <c r="A201" t="s">
        <v>104</v>
      </c>
      <c r="B201" t="s">
        <v>220</v>
      </c>
      <c r="C201" t="s">
        <v>278</v>
      </c>
      <c r="D201" t="str">
        <f>HYPERLINK("https://www.pitsco.com/pages/experience-pitsco-grants-and-funding?srsltid=AfmBOoqhiykXkY-7dgKBRrg_eqmWEhm5ZOHic4y8isDzMSIaDz-Ae8Lk","https://www.pitsco.com/pages/experience-pitsco-grants-and-funding?srsltid=AfmBOoqhiykXkY-7dgKBRrg_eqmWEhm5ZOHic4y8isDzMSIaDz-Ae8Lk")</f>
        <v>https://www.pitsco.com/pages/experience-pitsco-grants-and-funding?srsltid=AfmBOoqhiykXkY-7dgKBRrg_eqmWEhm5ZOHic4y8isDzMSIaDz-Ae8Lk</v>
      </c>
    </row>
    <row r="202" spans="1:4" x14ac:dyDescent="0.25">
      <c r="A202" t="s">
        <v>104</v>
      </c>
      <c r="B202" t="s">
        <v>220</v>
      </c>
      <c r="C202" t="s">
        <v>230</v>
      </c>
      <c r="D202" t="str">
        <f>HYPERLINK("https://www.harrisburgfoundation.org/grants","https://www.harrisburgfoundation.org/grants")</f>
        <v>https://www.harrisburgfoundation.org/grants</v>
      </c>
    </row>
    <row r="203" spans="1:4" x14ac:dyDescent="0.25">
      <c r="A203" t="s">
        <v>104</v>
      </c>
      <c r="B203" t="s">
        <v>220</v>
      </c>
      <c r="C203" t="s">
        <v>274</v>
      </c>
      <c r="D203" t="str">
        <f>HYPERLINK("https://spartaeducationfoundation.org/grants/","https://spartaeducationfoundation.org/grants/")</f>
        <v>https://spartaeducationfoundation.org/grants/</v>
      </c>
    </row>
    <row r="204" spans="1:4" x14ac:dyDescent="0.25">
      <c r="A204" t="s">
        <v>104</v>
      </c>
      <c r="B204" t="s">
        <v>220</v>
      </c>
      <c r="C204" t="s">
        <v>47</v>
      </c>
      <c r="D204" t="str">
        <f>HYPERLINK("https://www.vexrobotics.com/grants","https://www.vexrobotics.com/grants")</f>
        <v>https://www.vexrobotics.com/grants</v>
      </c>
    </row>
    <row r="205" spans="1:4" x14ac:dyDescent="0.25">
      <c r="A205" t="s">
        <v>104</v>
      </c>
      <c r="B205" t="s">
        <v>220</v>
      </c>
      <c r="C205" t="s">
        <v>47</v>
      </c>
      <c r="D205" t="str">
        <f>HYPERLINK("https://www.vexrobotics.com/grants?srsltid=AfmBOoogkgU7mzprXwcGXQ9vmK5s3uz8wySl5URBnY1AJDVNWiRjiBIR","https://www.vexrobotics.com/grants?srsltid=AfmBOoogkgU7mzprXwcGXQ9vmK5s3uz8wySl5URBnY1AJDVNWiRjiBIR")</f>
        <v>https://www.vexrobotics.com/grants?srsltid=AfmBOoogkgU7mzprXwcGXQ9vmK5s3uz8wySl5URBnY1AJDVNWiRjiBIR</v>
      </c>
    </row>
    <row r="206" spans="1:4" x14ac:dyDescent="0.25">
      <c r="A206" t="s">
        <v>104</v>
      </c>
      <c r="B206" t="s">
        <v>220</v>
      </c>
      <c r="C206" t="s">
        <v>359</v>
      </c>
      <c r="D206" t="str">
        <f>HYPERLINK("https://search.ebscohost.com/login.aspx?direct=true&amp;profile=ehost&amp;scope=site&amp;authtype=crawler&amp;jrnl=10762175&amp;asa=N&amp;AN=18546134&amp;h=dsIdq2gSfl%2BW7MRUpgJFgriRBMLE6NfOlhC1yut%2Bb5%2FHjVdiEtBi2PJS3bL0K%2FdYj0EU53DvUI4drWihBlxqfA%3D%3D&amp;crl=c","https://search.ebscohost.com/login.aspx?direct=true&amp;profile=ehost&amp;scope=site&amp;authtype=crawler&amp;jrnl=10762175&amp;asa=N&amp;AN=18546134&amp;h=dsIdq2gSfl%2BW7MRUpgJFgriRBMLE6NfOlhC1yut%2Bb5%2FHjVdiEtBi2PJS3bL0K%2FdYj0EU53DvUI4drWihBlxqfA%3D%3D&amp;crl=c")</f>
        <v>https://search.ebscohost.com/login.aspx?direct=true&amp;profile=ehost&amp;scope=site&amp;authtype=crawler&amp;jrnl=10762175&amp;asa=N&amp;AN=18546134&amp;h=dsIdq2gSfl%2BW7MRUpgJFgriRBMLE6NfOlhC1yut%2Bb5%2FHjVdiEtBi2PJS3bL0K%2FdYj0EU53DvUI4drWihBlxqfA%3D%3D&amp;crl=c</v>
      </c>
    </row>
    <row r="207" spans="1:4" x14ac:dyDescent="0.25">
      <c r="A207" t="s">
        <v>104</v>
      </c>
      <c r="B207" t="s">
        <v>220</v>
      </c>
      <c r="C207" t="s">
        <v>300</v>
      </c>
      <c r="D207" t="str">
        <f>HYPERLINK("https://www.robolink.com/pages/grants-funding?srsltid=AfmBOop6YBfzXjTg0gowA-NzIql3NYITWKBztTj4mQ_hcrkDb7UT8FvF","https://www.robolink.com/pages/grants-funding?srsltid=AfmBOop6YBfzXjTg0gowA-NzIql3NYITWKBztTj4mQ_hcrkDb7UT8FvF")</f>
        <v>https://www.robolink.com/pages/grants-funding?srsltid=AfmBOop6YBfzXjTg0gowA-NzIql3NYITWKBztTj4mQ_hcrkDb7UT8FvF</v>
      </c>
    </row>
    <row r="208" spans="1:4" x14ac:dyDescent="0.25">
      <c r="A208" t="s">
        <v>104</v>
      </c>
      <c r="B208" t="s">
        <v>220</v>
      </c>
      <c r="C208" t="s">
        <v>224</v>
      </c>
      <c r="D208" t="str">
        <f>HYPERLINK("https://ozobot.com/category/grants-and-funding/","https://ozobot.com/category/grants-and-funding/")</f>
        <v>https://ozobot.com/category/grants-and-funding/</v>
      </c>
    </row>
    <row r="209" spans="1:4" x14ac:dyDescent="0.25">
      <c r="A209" t="s">
        <v>104</v>
      </c>
      <c r="B209" t="s">
        <v>220</v>
      </c>
      <c r="C209" t="s">
        <v>238</v>
      </c>
      <c r="D209" t="str">
        <f>HYPERLINK("https://ozobot.com/grants-and-funding-tool/","https://ozobot.com/grants-and-funding-tool/")</f>
        <v>https://ozobot.com/grants-and-funding-tool/</v>
      </c>
    </row>
    <row r="210" spans="1:4" x14ac:dyDescent="0.25">
      <c r="A210" t="s">
        <v>104</v>
      </c>
      <c r="B210" t="s">
        <v>220</v>
      </c>
      <c r="C210" t="s">
        <v>305</v>
      </c>
      <c r="D210" t="str">
        <f>HYPERLINK("https://ozobot.com/grants-and-funding-tool-2/","https://ozobot.com/grants-and-funding-tool-2/")</f>
        <v>https://ozobot.com/grants-and-funding-tool-2/</v>
      </c>
    </row>
    <row r="211" spans="1:4" x14ac:dyDescent="0.25">
      <c r="A211" t="s">
        <v>104</v>
      </c>
      <c r="B211" t="s">
        <v>220</v>
      </c>
      <c r="C211" t="s">
        <v>299</v>
      </c>
      <c r="D211" t="str">
        <f>HYPERLINK("https://www.instrumentl.com/browse-grants/grants-for-robotics","https://www.instrumentl.com/browse-grants/grants-for-robotics")</f>
        <v>https://www.instrumentl.com/browse-grants/grants-for-robotics</v>
      </c>
    </row>
    <row r="212" spans="1:4" x14ac:dyDescent="0.25">
      <c r="A212" t="s">
        <v>104</v>
      </c>
      <c r="B212" t="s">
        <v>220</v>
      </c>
      <c r="C212" t="s">
        <v>237</v>
      </c>
      <c r="D212" t="str">
        <f>HYPERLINK("https://kinderlabrobotics.com/grants/","https://kinderlabrobotics.com/grants/")</f>
        <v>https://kinderlabrobotics.com/grants/</v>
      </c>
    </row>
    <row r="213" spans="1:4" x14ac:dyDescent="0.25">
      <c r="A213" t="s">
        <v>104</v>
      </c>
      <c r="B213" t="s">
        <v>220</v>
      </c>
      <c r="C213" t="s">
        <v>245</v>
      </c>
      <c r="D213" t="str">
        <f>HYPERLINK("https://discoverspace.org/education/resources-for-educators/grants-for-teachers/","https://discoverspace.org/education/resources-for-educators/grants-for-teachers/")</f>
        <v>https://discoverspace.org/education/resources-for-educators/grants-for-teachers/</v>
      </c>
    </row>
    <row r="214" spans="1:4" x14ac:dyDescent="0.25">
      <c r="A214" t="s">
        <v>104</v>
      </c>
      <c r="B214" t="s">
        <v>220</v>
      </c>
      <c r="C214" t="s">
        <v>317</v>
      </c>
      <c r="D214" t="str">
        <f>HYPERLINK("https://www.ucdavis.edu/news/grants-study-robotics-teaching-tool-schools","https://www.ucdavis.edu/news/grants-study-robotics-teaching-tool-schools")</f>
        <v>https://www.ucdavis.edu/news/grants-study-robotics-teaching-tool-schools</v>
      </c>
    </row>
    <row r="215" spans="1:4" x14ac:dyDescent="0.25">
      <c r="A215" t="s">
        <v>104</v>
      </c>
      <c r="B215" t="s">
        <v>220</v>
      </c>
      <c r="C215" t="s">
        <v>277</v>
      </c>
      <c r="D215" t="str">
        <f>HYPERLINK("https://www.afcea.org/gravely-and-paige-grants","https://www.afcea.org/gravely-and-paige-grants")</f>
        <v>https://www.afcea.org/gravely-and-paige-grants</v>
      </c>
    </row>
    <row r="216" spans="1:4" x14ac:dyDescent="0.25">
      <c r="A216" t="s">
        <v>104</v>
      </c>
      <c r="B216" t="s">
        <v>220</v>
      </c>
      <c r="C216" t="s">
        <v>301</v>
      </c>
      <c r="D216" t="str">
        <f>HYPERLINK("https://www.robotlab.com/blog/here-is-the-stem-grants-list-for-2023?srsltid=AfmBOopRMDuQ6zUM8gQFYKCthFMmrnhD_NIeIHeQiQwim-F0ArMcNVBs","https://www.robotlab.com/blog/here-is-the-stem-grants-list-for-2023?srsltid=AfmBOopRMDuQ6zUM8gQFYKCthFMmrnhD_NIeIHeQiQwim-F0ArMcNVBs")</f>
        <v>https://www.robotlab.com/blog/here-is-the-stem-grants-list-for-2023?srsltid=AfmBOopRMDuQ6zUM8gQFYKCthFMmrnhD_NIeIHeQiQwim-F0ArMcNVBs</v>
      </c>
    </row>
    <row r="217" spans="1:4" x14ac:dyDescent="0.25">
      <c r="A217" t="s">
        <v>104</v>
      </c>
      <c r="B217" t="s">
        <v>220</v>
      </c>
      <c r="C217" t="s">
        <v>271</v>
      </c>
      <c r="D217" t="str">
        <f>HYPERLINK("https://www.cmu.edu/roboticsacademy/Training/how-to-get-funding.html","https://www.cmu.edu/roboticsacademy/Training/how-to-get-funding.html")</f>
        <v>https://www.cmu.edu/roboticsacademy/Training/how-to-get-funding.html</v>
      </c>
    </row>
    <row r="218" spans="1:4" x14ac:dyDescent="0.25">
      <c r="A218" t="s">
        <v>104</v>
      </c>
      <c r="B218" t="s">
        <v>220</v>
      </c>
      <c r="C218" t="s">
        <v>309</v>
      </c>
      <c r="D218" t="str">
        <f>HYPERLINK("https://www.techpointyouth.org/es-robot-grant-terms-conditions-copy","https://www.techpointyouth.org/es-robot-grant-terms-conditions-copy")</f>
        <v>https://www.techpointyouth.org/es-robot-grant-terms-conditions-copy</v>
      </c>
    </row>
    <row r="219" spans="1:4" x14ac:dyDescent="0.25">
      <c r="A219" t="s">
        <v>104</v>
      </c>
      <c r="B219" t="s">
        <v>220</v>
      </c>
      <c r="C219" t="s">
        <v>243</v>
      </c>
      <c r="D219" t="str">
        <f>HYPERLINK("https://nbefonline.org/innovative-teachers-grant/","https://nbefonline.org/innovative-teachers-grant/")</f>
        <v>https://nbefonline.org/innovative-teachers-grant/</v>
      </c>
    </row>
    <row r="220" spans="1:4" x14ac:dyDescent="0.25">
      <c r="A220" t="s">
        <v>104</v>
      </c>
      <c r="B220" t="s">
        <v>220</v>
      </c>
      <c r="C220" t="s">
        <v>308</v>
      </c>
      <c r="D220" t="str">
        <f>HYPERLINK("https://www.robokind.com/k12-special-education-funding","https://www.robokind.com/k12-special-education-funding")</f>
        <v>https://www.robokind.com/k12-special-education-funding</v>
      </c>
    </row>
    <row r="221" spans="1:4" x14ac:dyDescent="0.25">
      <c r="A221" t="s">
        <v>104</v>
      </c>
      <c r="B221" t="s">
        <v>220</v>
      </c>
      <c r="C221" t="s">
        <v>334</v>
      </c>
      <c r="D221" t="str">
        <f>HYPERLINK("https://www.ijee.ie/articles/Vol22-4/03_ijee1804.pdf","https://www.ijee.ie/articles/Vol22-4/03_ijee1804.pdf")</f>
        <v>https://www.ijee.ie/articles/Vol22-4/03_ijee1804.pdf</v>
      </c>
    </row>
    <row r="222" spans="1:4" x14ac:dyDescent="0.25">
      <c r="A222" t="s">
        <v>104</v>
      </c>
      <c r="B222" t="s">
        <v>220</v>
      </c>
      <c r="C222" t="s">
        <v>296</v>
      </c>
      <c r="D222" t="str">
        <f>HYPERLINK("https://kinderlabrobotics.com/kibo/in-the-classroom/","https://kinderlabrobotics.com/kibo/in-the-classroom/")</f>
        <v>https://kinderlabrobotics.com/kibo/in-the-classroom/</v>
      </c>
    </row>
    <row r="223" spans="1:4" x14ac:dyDescent="0.25">
      <c r="A223" t="s">
        <v>104</v>
      </c>
      <c r="B223" t="s">
        <v>220</v>
      </c>
      <c r="C223" t="s">
        <v>313</v>
      </c>
      <c r="D223" t="str">
        <f>HYPERLINK("https://www.pitt.edu/pittwire/accolades-honors/lrdc-scientists-receive-900000-grant-study-robots-math-classrooms","https://www.pitt.edu/pittwire/accolades-honors/lrdc-scientists-receive-900000-grant-study-robots-math-classrooms")</f>
        <v>https://www.pitt.edu/pittwire/accolades-honors/lrdc-scientists-receive-900000-grant-study-robots-math-classrooms</v>
      </c>
    </row>
    <row r="224" spans="1:4" x14ac:dyDescent="0.25">
      <c r="A224" t="s">
        <v>104</v>
      </c>
      <c r="B224" t="s">
        <v>220</v>
      </c>
      <c r="C224" t="s">
        <v>290</v>
      </c>
      <c r="D224" t="str">
        <f>HYPERLINK("https://www.roboticsforevery.one/robotics-grants/ma-stem-week-grant","https://www.roboticsforevery.one/robotics-grants/ma-stem-week-grant")</f>
        <v>https://www.roboticsforevery.one/robotics-grants/ma-stem-week-grant</v>
      </c>
    </row>
    <row r="225" spans="1:4" x14ac:dyDescent="0.25">
      <c r="A225" t="s">
        <v>104</v>
      </c>
      <c r="B225" t="s">
        <v>220</v>
      </c>
      <c r="C225" t="s">
        <v>361</v>
      </c>
      <c r="D225" t="str">
        <f>HYPERLINK("https://marylandpublicschools.org/about/Pages/OFPOS/GAC/MDRoboticsFY25/index.aspx","https://marylandpublicschools.org/about/Pages/OFPOS/GAC/MDRoboticsFY25/index.aspx")</f>
        <v>https://marylandpublicschools.org/about/Pages/OFPOS/GAC/MDRoboticsFY25/index.aspx</v>
      </c>
    </row>
    <row r="226" spans="1:4" x14ac:dyDescent="0.25">
      <c r="A226" t="s">
        <v>104</v>
      </c>
      <c r="B226" t="s">
        <v>220</v>
      </c>
      <c r="C226" t="s">
        <v>316</v>
      </c>
      <c r="D226" t="str">
        <f>HYPERLINK("https://marylandpublicschools.org/about/Pages/OFPOS/GAC/MDRoboticsFY24/index.aspx","https://marylandpublicschools.org/about/Pages/OFPOS/GAC/MDRoboticsFY24/index.aspx")</f>
        <v>https://marylandpublicschools.org/about/Pages/OFPOS/GAC/MDRoboticsFY24/index.aspx</v>
      </c>
    </row>
    <row r="227" spans="1:4" x14ac:dyDescent="0.25">
      <c r="A227" t="s">
        <v>104</v>
      </c>
      <c r="B227" t="s">
        <v>220</v>
      </c>
      <c r="C227" t="s">
        <v>339</v>
      </c>
      <c r="D227" t="str">
        <f>HYPERLINK("https://cs.au.dk/~ocaprani/legolab/Danish.dir/JanneFLL/FRC_eval_finalrpt.pdf","https://cs.au.dk/~ocaprani/legolab/Danish.dir/JanneFLL/FRC_eval_finalrpt.pdf")</f>
        <v>https://cs.au.dk/~ocaprani/legolab/Danish.dir/JanneFLL/FRC_eval_finalrpt.pdf</v>
      </c>
    </row>
    <row r="228" spans="1:4" x14ac:dyDescent="0.25">
      <c r="A228" t="s">
        <v>104</v>
      </c>
      <c r="B228" t="s">
        <v>220</v>
      </c>
      <c r="C228" t="s">
        <v>255</v>
      </c>
      <c r="D228" t="str">
        <f>HYPERLINK("https://marylandpublicschools.org/about/Pages/OFPOS/GAC/GrantPrograms/index.aspx","https://marylandpublicschools.org/about/Pages/OFPOS/GAC/GrantPrograms/index.aspx")</f>
        <v>https://marylandpublicschools.org/about/Pages/OFPOS/GAC/GrantPrograms/index.aspx</v>
      </c>
    </row>
    <row r="229" spans="1:4" x14ac:dyDescent="0.25">
      <c r="A229" t="s">
        <v>104</v>
      </c>
      <c r="B229" t="s">
        <v>220</v>
      </c>
      <c r="C229" t="s">
        <v>327</v>
      </c>
      <c r="D229" t="str">
        <f>HYPERLINK("https://www.pittstate.edu/gorillaconnection/2023/04/nasa-grant-to-fund-teacher-workshop-in-robotics.html","https://www.pittstate.edu/gorillaconnection/2023/04/nasa-grant-to-fund-teacher-workshop-in-robotics.html")</f>
        <v>https://www.pittstate.edu/gorillaconnection/2023/04/nasa-grant-to-fund-teacher-workshop-in-robotics.html</v>
      </c>
    </row>
    <row r="230" spans="1:4" x14ac:dyDescent="0.25">
      <c r="A230" t="s">
        <v>104</v>
      </c>
      <c r="B230" t="s">
        <v>220</v>
      </c>
      <c r="C230" t="s">
        <v>279</v>
      </c>
      <c r="D230" t="str">
        <f>HYPERLINK("https://navarro-inc.com/navarro-awards-stem-education-grants-to-three-nevada-schools/","https://navarro-inc.com/navarro-awards-stem-education-grants-to-three-nevada-schools/")</f>
        <v>https://navarro-inc.com/navarro-awards-stem-education-grants-to-three-nevada-schools/</v>
      </c>
    </row>
    <row r="231" spans="1:4" x14ac:dyDescent="0.25">
      <c r="A231" t="s">
        <v>104</v>
      </c>
      <c r="B231" t="s">
        <v>220</v>
      </c>
      <c r="C231" t="s">
        <v>256</v>
      </c>
      <c r="D231" t="str">
        <f>HYPERLINK("https://www.education.nh.gov/news/nearly-80-schools-receive-robotics-grants","https://www.education.nh.gov/news/nearly-80-schools-receive-robotics-grants")</f>
        <v>https://www.education.nh.gov/news/nearly-80-schools-receive-robotics-grants</v>
      </c>
    </row>
    <row r="232" spans="1:4" x14ac:dyDescent="0.25">
      <c r="A232" t="s">
        <v>104</v>
      </c>
      <c r="B232" t="s">
        <v>220</v>
      </c>
      <c r="C232" t="s">
        <v>283</v>
      </c>
      <c r="D232" t="str">
        <f>HYPERLINK("https://education.virginia.edu/news-stories/news-brief-expanding-robot-research-13m-grant","https://education.virginia.edu/news-stories/news-brief-expanding-robot-research-13m-grant")</f>
        <v>https://education.virginia.edu/news-stories/news-brief-expanding-robot-research-13m-grant</v>
      </c>
    </row>
    <row r="233" spans="1:4" x14ac:dyDescent="0.25">
      <c r="A233" t="s">
        <v>104</v>
      </c>
      <c r="B233" t="s">
        <v>220</v>
      </c>
      <c r="C233" t="s">
        <v>363</v>
      </c>
      <c r="D233" t="str">
        <f>HYPERLINK("https://north.grantspass.k12.or.us/","https://north.grantspass.k12.or.us/")</f>
        <v>https://north.grantspass.k12.or.us/</v>
      </c>
    </row>
    <row r="234" spans="1:4" x14ac:dyDescent="0.25">
      <c r="A234" t="s">
        <v>104</v>
      </c>
      <c r="B234" t="s">
        <v>220</v>
      </c>
      <c r="C234" t="s">
        <v>360</v>
      </c>
      <c r="D234" t="str">
        <f>HYPERLINK("https://link.springer.com/article/10.1007/s10506-017-9214-9?trk=article-ssr-frontend-pulse_x-social-details_comments-action_comment-text","https://link.springer.com/article/10.1007/s10506-017-9214-9?trk=article-ssr-frontend-pulse_x-social-details_comments-action_comment-text")</f>
        <v>https://link.springer.com/article/10.1007/s10506-017-9214-9?trk=article-ssr-frontend-pulse_x-social-details_comments-action_comment-text</v>
      </c>
    </row>
    <row r="235" spans="1:4" x14ac:dyDescent="0.25">
      <c r="A235" t="s">
        <v>104</v>
      </c>
      <c r="B235" t="s">
        <v>220</v>
      </c>
      <c r="C235" t="s">
        <v>312</v>
      </c>
      <c r="D235" t="str">
        <f>HYPERLINK("https://oklahoma.gov/aerospace/outreach-advocacy/newsroom/okbest-robotics-secures-aviation-education-grant.html","https://oklahoma.gov/aerospace/outreach-advocacy/newsroom/okbest-robotics-secures-aviation-education-grant.html")</f>
        <v>https://oklahoma.gov/aerospace/outreach-advocacy/newsroom/okbest-robotics-secures-aviation-education-grant.html</v>
      </c>
    </row>
    <row r="236" spans="1:4" x14ac:dyDescent="0.25">
      <c r="A236" t="s">
        <v>104</v>
      </c>
      <c r="B236" t="s">
        <v>220</v>
      </c>
      <c r="C236" t="s">
        <v>366</v>
      </c>
      <c r="D236" t="str">
        <f>HYPERLINK("https://www.michigan.gov/mde/services/financial-management/grants/oset-grants/99h---robotics","https://www.michigan.gov/mde/services/financial-management/grants/oset-grants/99h---robotics")</f>
        <v>https://www.michigan.gov/mde/services/financial-management/grants/oset-grants/99h---robotics</v>
      </c>
    </row>
    <row r="237" spans="1:4" x14ac:dyDescent="0.25">
      <c r="A237" t="s">
        <v>104</v>
      </c>
      <c r="B237" t="s">
        <v>220</v>
      </c>
      <c r="C237" t="s">
        <v>233</v>
      </c>
      <c r="D237" t="str">
        <f>HYPERLINK("https://ozobot.com/","https://ozobot.com/")</f>
        <v>https://ozobot.com/</v>
      </c>
    </row>
    <row r="238" spans="1:4" x14ac:dyDescent="0.25">
      <c r="A238" t="s">
        <v>104</v>
      </c>
      <c r="B238" t="s">
        <v>220</v>
      </c>
      <c r="C238" t="s">
        <v>251</v>
      </c>
      <c r="D238" t="str">
        <f>HYPERLINK("https://ozobot.com/ozobot-grant-report-november-edition/","https://ozobot.com/ozobot-grant-report-november-edition/")</f>
        <v>https://ozobot.com/ozobot-grant-report-november-edition/</v>
      </c>
    </row>
    <row r="239" spans="1:4" x14ac:dyDescent="0.25">
      <c r="A239" t="s">
        <v>104</v>
      </c>
      <c r="B239" t="s">
        <v>220</v>
      </c>
      <c r="C239" t="s">
        <v>365</v>
      </c>
      <c r="D239" t="str">
        <f>HYPERLINK("https://penn.phmschools.org/2024/10/04/penn-robotics-teams-awarded-grants-from-indiana-department-of-education/","https://penn.phmschools.org/2024/10/04/penn-robotics-teams-awarded-grants-from-indiana-department-of-education/")</f>
        <v>https://penn.phmschools.org/2024/10/04/penn-robotics-teams-awarded-grants-from-indiana-department-of-education/</v>
      </c>
    </row>
    <row r="240" spans="1:4" x14ac:dyDescent="0.25">
      <c r="A240" t="s">
        <v>104</v>
      </c>
      <c r="B240" t="s">
        <v>220</v>
      </c>
      <c r="C240" t="s">
        <v>318</v>
      </c>
      <c r="D240" t="str">
        <f>HYPERLINK("https://recf.org/","https://recf.org/")</f>
        <v>https://recf.org/</v>
      </c>
    </row>
    <row r="241" spans="1:4" x14ac:dyDescent="0.25">
      <c r="A241" t="s">
        <v>104</v>
      </c>
      <c r="B241" t="s">
        <v>220</v>
      </c>
      <c r="C241" t="s">
        <v>352</v>
      </c>
      <c r="D241" t="str">
        <f>HYPERLINK("https://ieeexplore.ieee.org/abstract/document/6502895/","https://ieeexplore.ieee.org/abstract/document/6502895/")</f>
        <v>https://ieeexplore.ieee.org/abstract/document/6502895/</v>
      </c>
    </row>
    <row r="242" spans="1:4" x14ac:dyDescent="0.25">
      <c r="A242" t="s">
        <v>104</v>
      </c>
      <c r="B242" t="s">
        <v>220</v>
      </c>
      <c r="C242" t="s">
        <v>364</v>
      </c>
      <c r="D242" t="str">
        <f>HYPERLINK("https://www.wfyi.org/news/articles/robotics-bill-expands-school-grant-eligibility-widens-what-funds-can-be-used-for","https://www.wfyi.org/news/articles/robotics-bill-expands-school-grant-eligibility-widens-what-funds-can-be-used-for")</f>
        <v>https://www.wfyi.org/news/articles/robotics-bill-expands-school-grant-eligibility-widens-what-funds-can-be-used-for</v>
      </c>
    </row>
    <row r="243" spans="1:4" x14ac:dyDescent="0.25">
      <c r="A243" t="s">
        <v>104</v>
      </c>
      <c r="B243" t="s">
        <v>220</v>
      </c>
      <c r="C243" t="s">
        <v>252</v>
      </c>
      <c r="D243" t="str">
        <f>HYPERLINK("https://www.education.nh.gov/sites/g/files/ehbemt326/files/inline-documents/sonh/robotics-ed-fund.pdf","https://www.education.nh.gov/sites/g/files/ehbemt326/files/inline-documents/sonh/robotics-ed-fund.pdf")</f>
        <v>https://www.education.nh.gov/sites/g/files/ehbemt326/files/inline-documents/sonh/robotics-ed-fund.pdf</v>
      </c>
    </row>
    <row r="244" spans="1:4" x14ac:dyDescent="0.25">
      <c r="A244" t="s">
        <v>104</v>
      </c>
      <c r="B244" t="s">
        <v>220</v>
      </c>
      <c r="C244" t="s">
        <v>358</v>
      </c>
      <c r="D244" t="str">
        <f>HYPERLINK("https://digital.wpi.edu/downloads/70795c22c","https://digital.wpi.edu/downloads/70795c22c")</f>
        <v>https://digital.wpi.edu/downloads/70795c22c</v>
      </c>
    </row>
    <row r="245" spans="1:4" x14ac:dyDescent="0.25">
      <c r="A245" t="s">
        <v>104</v>
      </c>
      <c r="B245" t="s">
        <v>220</v>
      </c>
      <c r="C245" t="s">
        <v>270</v>
      </c>
      <c r="D245" t="str">
        <f>HYPERLINK("https://www.amsti.org/robotics","https://www.amsti.org/robotics")</f>
        <v>https://www.amsti.org/robotics</v>
      </c>
    </row>
    <row r="246" spans="1:4" x14ac:dyDescent="0.25">
      <c r="A246" t="s">
        <v>104</v>
      </c>
      <c r="B246" t="s">
        <v>220</v>
      </c>
      <c r="C246" t="s">
        <v>48</v>
      </c>
      <c r="D246" t="str">
        <f>HYPERLINK("https://first.dodstem.us/","https://first.dodstem.us/")</f>
        <v>https://first.dodstem.us/</v>
      </c>
    </row>
    <row r="247" spans="1:4" x14ac:dyDescent="0.25">
      <c r="A247" t="s">
        <v>104</v>
      </c>
      <c r="B247" t="s">
        <v>220</v>
      </c>
      <c r="C247" t="s">
        <v>71</v>
      </c>
      <c r="D247" t="str">
        <f>HYPERLINK("https://dpi.wi.gov/stem/grants/robotic-league","https://dpi.wi.gov/stem/grants/robotic-league")</f>
        <v>https://dpi.wi.gov/stem/grants/robotic-league</v>
      </c>
    </row>
    <row r="248" spans="1:4" x14ac:dyDescent="0.25">
      <c r="A248" t="s">
        <v>104</v>
      </c>
      <c r="B248" t="s">
        <v>220</v>
      </c>
      <c r="C248" t="s">
        <v>242</v>
      </c>
      <c r="D248" t="str">
        <f>HYPERLINK("https://www.sciencenews.org/article/robots-are-becoming-classroom-tutors-will-they-make-grade","https://www.sciencenews.org/article/robots-are-becoming-classroom-tutors-will-they-make-grade")</f>
        <v>https://www.sciencenews.org/article/robots-are-becoming-classroom-tutors-will-they-make-grade</v>
      </c>
    </row>
    <row r="249" spans="1:4" x14ac:dyDescent="0.25">
      <c r="A249" t="s">
        <v>104</v>
      </c>
      <c r="B249" t="s">
        <v>220</v>
      </c>
      <c r="C249" t="s">
        <v>319</v>
      </c>
      <c r="D249" t="str">
        <f>HYPERLINK("https://www.masscue.org/sphero/","https://www.masscue.org/sphero/")</f>
        <v>https://www.masscue.org/sphero/</v>
      </c>
    </row>
    <row r="250" spans="1:4" x14ac:dyDescent="0.25">
      <c r="A250" t="s">
        <v>104</v>
      </c>
      <c r="B250" t="s">
        <v>220</v>
      </c>
      <c r="C250" t="s">
        <v>367</v>
      </c>
      <c r="D250" t="str">
        <f>HYPERLINK("https://the-ftts.org/school-grants-fund-tigard-high-robotics-program/","https://the-ftts.org/school-grants-fund-tigard-high-robotics-program/")</f>
        <v>https://the-ftts.org/school-grants-fund-tigard-high-robotics-program/</v>
      </c>
    </row>
    <row r="251" spans="1:4" x14ac:dyDescent="0.25">
      <c r="A251" t="s">
        <v>104</v>
      </c>
      <c r="B251" t="s">
        <v>220</v>
      </c>
      <c r="C251" t="s">
        <v>332</v>
      </c>
      <c r="D251" t="str">
        <f>HYPERLINK("https://www.education.nh.gov/who-we-are/division-of-learner-support/bureau-of-instructional-support/office-of-science-technology-engineering-and-mathematics-education","https://www.education.nh.gov/who-we-are/division-of-learner-support/bureau-of-instructional-support/office-of-science-technology-engineering-and-mathematics-education")</f>
        <v>https://www.education.nh.gov/who-we-are/division-of-learner-support/bureau-of-instructional-support/office-of-science-technology-engineering-and-mathematics-education</v>
      </c>
    </row>
    <row r="252" spans="1:4" x14ac:dyDescent="0.25">
      <c r="A252" t="s">
        <v>104</v>
      </c>
      <c r="B252" t="s">
        <v>220</v>
      </c>
      <c r="C252" t="s">
        <v>311</v>
      </c>
      <c r="D252" t="str">
        <f>HYPERLINK("https://www.hartfordschools.org/o/hps/article/1062490","https://www.hartfordschools.org/o/hps/article/1062490")</f>
        <v>https://www.hartfordschools.org/o/hps/article/1062490</v>
      </c>
    </row>
    <row r="253" spans="1:4" x14ac:dyDescent="0.25">
      <c r="A253" t="s">
        <v>104</v>
      </c>
      <c r="B253" t="s">
        <v>220</v>
      </c>
      <c r="C253" t="s">
        <v>344</v>
      </c>
      <c r="D253" t="str">
        <f>HYPERLINK("https://dl.acm.org/doi/abs/10.1145/2538862.2538972","https://dl.acm.org/doi/abs/10.1145/2538862.2538972")</f>
        <v>https://dl.acm.org/doi/abs/10.1145/2538862.2538972</v>
      </c>
    </row>
    <row r="254" spans="1:4" x14ac:dyDescent="0.25">
      <c r="A254" t="s">
        <v>104</v>
      </c>
      <c r="B254" t="s">
        <v>220</v>
      </c>
      <c r="C254" t="s">
        <v>357</v>
      </c>
      <c r="D254" t="str">
        <f>HYPERLINK("https://www.pnas.org/doi/abs/10.1073/pnas.0707769104","https://www.pnas.org/doi/abs/10.1073/pnas.0707769104")</f>
        <v>https://www.pnas.org/doi/abs/10.1073/pnas.0707769104</v>
      </c>
    </row>
    <row r="255" spans="1:4" x14ac:dyDescent="0.25">
      <c r="A255" t="s">
        <v>104</v>
      </c>
      <c r="B255" t="s">
        <v>220</v>
      </c>
      <c r="C255" t="s">
        <v>264</v>
      </c>
      <c r="D255" t="str">
        <f>HYPERLINK("https://www.powhatan.k12.va.us/article/1556445","https://www.powhatan.k12.va.us/article/1556445")</f>
        <v>https://www.powhatan.k12.va.us/article/1556445</v>
      </c>
    </row>
    <row r="256" spans="1:4" x14ac:dyDescent="0.25">
      <c r="A256" t="s">
        <v>104</v>
      </c>
      <c r="B256" t="s">
        <v>220</v>
      </c>
      <c r="C256" t="s">
        <v>276</v>
      </c>
      <c r="D256" t="str">
        <f>HYPERLINK("https://sphero.com/pages/corporate-organizational-grants","https://sphero.com/pages/corporate-organizational-grants")</f>
        <v>https://sphero.com/pages/corporate-organizational-grants</v>
      </c>
    </row>
    <row r="257" spans="1:4" x14ac:dyDescent="0.25">
      <c r="A257" t="s">
        <v>104</v>
      </c>
      <c r="B257" t="s">
        <v>220</v>
      </c>
      <c r="C257" t="s">
        <v>284</v>
      </c>
      <c r="D257" t="str">
        <f>HYPERLINK("https://www.srpnet.com/about/community-support/educator-support/grant-winners","https://www.srpnet.com/about/community-support/educator-support/grant-winners")</f>
        <v>https://www.srpnet.com/about/community-support/educator-support/grant-winners</v>
      </c>
    </row>
    <row r="258" spans="1:4" x14ac:dyDescent="0.25">
      <c r="A258" t="s">
        <v>104</v>
      </c>
      <c r="B258" t="s">
        <v>220</v>
      </c>
      <c r="C258" t="s">
        <v>302</v>
      </c>
      <c r="D258" t="str">
        <f>HYPERLINK("https://sphero.com/pages/stem-computer-science-funding","https://sphero.com/pages/stem-computer-science-funding")</f>
        <v>https://sphero.com/pages/stem-computer-science-funding</v>
      </c>
    </row>
    <row r="259" spans="1:4" x14ac:dyDescent="0.25">
      <c r="A259" t="s">
        <v>104</v>
      </c>
      <c r="B259" t="s">
        <v>220</v>
      </c>
      <c r="C259" t="s">
        <v>330</v>
      </c>
      <c r="D259" t="str">
        <f>HYPERLINK("https://mdspace.org/stem-education/","https://mdspace.org/stem-education/")</f>
        <v>https://mdspace.org/stem-education/</v>
      </c>
    </row>
    <row r="260" spans="1:4" x14ac:dyDescent="0.25">
      <c r="A260" t="s">
        <v>104</v>
      </c>
      <c r="B260" t="s">
        <v>220</v>
      </c>
      <c r="C260" t="s">
        <v>244</v>
      </c>
      <c r="D260" t="str">
        <f>HYPERLINK("https://sphero.com/","https://sphero.com/")</f>
        <v>https://sphero.com/</v>
      </c>
    </row>
    <row r="261" spans="1:4" x14ac:dyDescent="0.25">
      <c r="A261" t="s">
        <v>104</v>
      </c>
      <c r="B261" t="s">
        <v>220</v>
      </c>
      <c r="C261" t="s">
        <v>235</v>
      </c>
      <c r="D261" t="str">
        <f>HYPERLINK("https://stemfinity.com/products/robot-crawler-classroom-pack","https://stemfinity.com/products/robot-crawler-classroom-pack")</f>
        <v>https://stemfinity.com/products/robot-crawler-classroom-pack</v>
      </c>
    </row>
    <row r="262" spans="1:4" x14ac:dyDescent="0.25">
      <c r="A262" t="s">
        <v>104</v>
      </c>
      <c r="B262" t="s">
        <v>220</v>
      </c>
      <c r="C262" t="s">
        <v>240</v>
      </c>
      <c r="D262" t="str">
        <f>HYPERLINK("https://www.elkhornfoundation.org/wp-content/uploads/2024/01/2023-Newsletter-Classroom-Grants.pdf","https://www.elkhornfoundation.org/wp-content/uploads/2024/01/2023-Newsletter-Classroom-Grants.pdf")</f>
        <v>https://www.elkhornfoundation.org/wp-content/uploads/2024/01/2023-Newsletter-Classroom-Grants.pdf</v>
      </c>
    </row>
    <row r="263" spans="1:4" x14ac:dyDescent="0.25">
      <c r="A263" t="s">
        <v>104</v>
      </c>
      <c r="B263" t="s">
        <v>220</v>
      </c>
      <c r="C263" t="s">
        <v>335</v>
      </c>
      <c r="D263" t="str">
        <f>HYPERLINK("https://ieeexplore.ieee.org/abstract/document/7467483/","https://ieeexplore.ieee.org/abstract/document/7467483/")</f>
        <v>https://ieeexplore.ieee.org/abstract/document/7467483/</v>
      </c>
    </row>
    <row r="264" spans="1:4" x14ac:dyDescent="0.25">
      <c r="A264" t="s">
        <v>104</v>
      </c>
      <c r="B264" t="s">
        <v>220</v>
      </c>
      <c r="C264" t="s">
        <v>356</v>
      </c>
      <c r="D264" t="str">
        <f>HYPERLINK("https://ieeexplore.ieee.org/abstract/document/5350813/","https://ieeexplore.ieee.org/abstract/document/5350813/")</f>
        <v>https://ieeexplore.ieee.org/abstract/document/5350813/</v>
      </c>
    </row>
    <row r="265" spans="1:4" x14ac:dyDescent="0.25">
      <c r="A265" t="s">
        <v>104</v>
      </c>
      <c r="B265" t="s">
        <v>220</v>
      </c>
      <c r="C265" t="s">
        <v>263</v>
      </c>
      <c r="D265" t="str">
        <f>HYPERLINK("https://www.bellinghamschoolsfoundation.org/grants/","https://www.bellinghamschoolsfoundation.org/grants/")</f>
        <v>https://www.bellinghamschoolsfoundation.org/grants/</v>
      </c>
    </row>
    <row r="266" spans="1:4" x14ac:dyDescent="0.25">
      <c r="A266" t="s">
        <v>104</v>
      </c>
      <c r="B266" t="s">
        <v>220</v>
      </c>
      <c r="C266" t="s">
        <v>231</v>
      </c>
      <c r="D266" t="str">
        <f>HYPERLINK("https://www.georgiateachersinitiative.org/grants/","https://www.georgiateachersinitiative.org/grants/")</f>
        <v>https://www.georgiateachersinitiative.org/grants/</v>
      </c>
    </row>
    <row r="267" spans="1:4" x14ac:dyDescent="0.25">
      <c r="A267" t="s">
        <v>104</v>
      </c>
      <c r="B267" t="s">
        <v>220</v>
      </c>
      <c r="C267" t="s">
        <v>280</v>
      </c>
      <c r="D267" t="str">
        <f>HYPERLINK("https://wvpec.wvu.edu/events-and-initiatives/teacher-innovation-mini-grants-summer-2023","https://wvpec.wvu.edu/events-and-initiatives/teacher-innovation-mini-grants-summer-2023")</f>
        <v>https://wvpec.wvu.edu/events-and-initiatives/teacher-innovation-mini-grants-summer-2023</v>
      </c>
    </row>
    <row r="268" spans="1:4" x14ac:dyDescent="0.25">
      <c r="A268" t="s">
        <v>104</v>
      </c>
      <c r="B268" t="s">
        <v>220</v>
      </c>
      <c r="C268" t="s">
        <v>265</v>
      </c>
      <c r="D268" t="str">
        <f>HYPERLINK("https://www.instagram.com/techpointyouth/p/C8K68AgSKsq/","https://www.instagram.com/techpointyouth/p/C8K68AgSKsq/")</f>
        <v>https://www.instagram.com/techpointyouth/p/C8K68AgSKsq/</v>
      </c>
    </row>
    <row r="269" spans="1:4" x14ac:dyDescent="0.25">
      <c r="A269" t="s">
        <v>104</v>
      </c>
      <c r="B269" t="s">
        <v>220</v>
      </c>
      <c r="C269" t="s">
        <v>266</v>
      </c>
      <c r="D269" t="str">
        <f>HYPERLINK("https://www.instagram.com/techpointyouth/p/C7ouhGEy8fI/","https://www.instagram.com/techpointyouth/p/C7ouhGEy8fI/")</f>
        <v>https://www.instagram.com/techpointyouth/p/C7ouhGEy8fI/</v>
      </c>
    </row>
    <row r="270" spans="1:4" x14ac:dyDescent="0.25">
      <c r="A270" t="s">
        <v>104</v>
      </c>
      <c r="B270" t="s">
        <v>220</v>
      </c>
      <c r="C270" t="s">
        <v>350</v>
      </c>
      <c r="D270" t="str">
        <f>HYPERLINK("https://www.tandfonline.com/doi/abs/10.1080/15236803.2020.1744798","https://www.tandfonline.com/doi/abs/10.1080/15236803.2020.1744798")</f>
        <v>https://www.tandfonline.com/doi/abs/10.1080/15236803.2020.1744798</v>
      </c>
    </row>
    <row r="271" spans="1:4" x14ac:dyDescent="0.25">
      <c r="A271" t="s">
        <v>104</v>
      </c>
      <c r="B271" t="s">
        <v>220</v>
      </c>
      <c r="C271" t="s">
        <v>354</v>
      </c>
      <c r="D271" t="str">
        <f>HYPERLINK("https://link.springer.com/article/10.1007/s00146-016-0667-2","https://link.springer.com/article/10.1007/s00146-016-0667-2")</f>
        <v>https://link.springer.com/article/10.1007/s00146-016-0667-2</v>
      </c>
    </row>
    <row r="272" spans="1:4" x14ac:dyDescent="0.25">
      <c r="A272" t="s">
        <v>104</v>
      </c>
      <c r="B272" t="s">
        <v>220</v>
      </c>
      <c r="C272" t="s">
        <v>342</v>
      </c>
      <c r="D272" t="str">
        <f>HYPERLINK("https://link.springer.com/article/10.1007/s10643-012-0554-5","https://link.springer.com/article/10.1007/s10643-012-0554-5")</f>
        <v>https://link.springer.com/article/10.1007/s10643-012-0554-5</v>
      </c>
    </row>
    <row r="273" spans="1:4" x14ac:dyDescent="0.25">
      <c r="A273" t="s">
        <v>104</v>
      </c>
      <c r="B273" t="s">
        <v>220</v>
      </c>
      <c r="C273" t="s">
        <v>324</v>
      </c>
      <c r="D273" t="str">
        <f>HYPERLINK("https://www.thomasvilleschools.org/article/1457989","https://www.thomasvilleschools.org/article/1457989")</f>
        <v>https://www.thomasvilleschools.org/article/1457989</v>
      </c>
    </row>
    <row r="274" spans="1:4" x14ac:dyDescent="0.25">
      <c r="A274" t="s">
        <v>104</v>
      </c>
      <c r="B274" t="s">
        <v>220</v>
      </c>
      <c r="C274" t="s">
        <v>293</v>
      </c>
      <c r="D274" t="str">
        <f>HYPERLINK("https://www.grantspass.k12.or.us/our-district/news/details/~board/district-news/post/trail-blazers-foundation-awards-grant-to-nms-robotics-program","https://www.grantspass.k12.or.us/our-district/news/details/~board/district-news/post/trail-blazers-foundation-awards-grant-to-nms-robotics-program")</f>
        <v>https://www.grantspass.k12.or.us/our-district/news/details/~board/district-news/post/trail-blazers-foundation-awards-grant-to-nms-robotics-program</v>
      </c>
    </row>
    <row r="275" spans="1:4" x14ac:dyDescent="0.25">
      <c r="A275" t="s">
        <v>104</v>
      </c>
      <c r="B275" t="s">
        <v>220</v>
      </c>
      <c r="C275" t="s">
        <v>82</v>
      </c>
      <c r="D275" t="str">
        <f>HYPERLINK("https://www.entireweb.com/speedyads","https://www.entireweb.com/speedyads")</f>
        <v>https://www.entireweb.com/speedyads</v>
      </c>
    </row>
    <row r="276" spans="1:4" x14ac:dyDescent="0.25">
      <c r="A276" t="s">
        <v>104</v>
      </c>
      <c r="B276" t="s">
        <v>220</v>
      </c>
      <c r="C276" t="s">
        <v>257</v>
      </c>
      <c r="D276" t="str">
        <f>HYPERLINK("https://www.reddit.com/r/FTC/comments/19ch3o7/trying_to_get_funding_for_my_schools_robotics/","https://www.reddit.com/r/FTC/comments/19ch3o7/trying_to_get_funding_for_my_schools_robotics/")</f>
        <v>https://www.reddit.com/r/FTC/comments/19ch3o7/trying_to_get_funding_for_my_schools_robotics/</v>
      </c>
    </row>
    <row r="277" spans="1:4" x14ac:dyDescent="0.25">
      <c r="A277" t="s">
        <v>104</v>
      </c>
      <c r="B277" t="s">
        <v>220</v>
      </c>
      <c r="C277" t="s">
        <v>362</v>
      </c>
      <c r="D277" t="str">
        <f>HYPERLINK("https://www.twc.texas.gov/news/twc-youth-robotics-grants-encourage-high-school-students-pursue-careers-stem","https://www.twc.texas.gov/news/twc-youth-robotics-grants-encourage-high-school-students-pursue-careers-stem")</f>
        <v>https://www.twc.texas.gov/news/twc-youth-robotics-grants-encourage-high-school-students-pursue-careers-stem</v>
      </c>
    </row>
    <row r="278" spans="1:4" x14ac:dyDescent="0.25">
      <c r="A278" t="s">
        <v>104</v>
      </c>
      <c r="B278" t="s">
        <v>220</v>
      </c>
      <c r="C278" t="s">
        <v>323</v>
      </c>
      <c r="D278" t="str">
        <f>HYPERLINK("https://www.twc.texas.gov/news/twc-youth-robotics-grants-inspire-high-school-students-pursue-stem-occupations","https://www.twc.texas.gov/news/twc-youth-robotics-grants-inspire-high-school-students-pursue-stem-occupations")</f>
        <v>https://www.twc.texas.gov/news/twc-youth-robotics-grants-inspire-high-school-students-pursue-stem-occupations</v>
      </c>
    </row>
    <row r="279" spans="1:4" x14ac:dyDescent="0.25">
      <c r="A279" t="s">
        <v>104</v>
      </c>
      <c r="B279" t="s">
        <v>220</v>
      </c>
      <c r="C279" t="s">
        <v>262</v>
      </c>
      <c r="D279" t="str">
        <f>HYPERLINK("https://kb.vex.com/hc/en-us/articles/4409976770580-UK-Funding-Sources","https://kb.vex.com/hc/en-us/articles/4409976770580-UK-Funding-Sources")</f>
        <v>https://kb.vex.com/hc/en-us/articles/4409976770580-UK-Funding-Sources</v>
      </c>
    </row>
    <row r="280" spans="1:4" x14ac:dyDescent="0.25">
      <c r="A280" t="s">
        <v>104</v>
      </c>
      <c r="B280" t="s">
        <v>220</v>
      </c>
      <c r="C280" t="s">
        <v>337</v>
      </c>
      <c r="D280" t="str">
        <f>HYPERLINK("https://peer.asee.org/33487.pdf","https://peer.asee.org/33487.pdf")</f>
        <v>https://peer.asee.org/33487.pdf</v>
      </c>
    </row>
    <row r="281" spans="1:4" x14ac:dyDescent="0.25">
      <c r="A281" t="s">
        <v>104</v>
      </c>
      <c r="B281" t="s">
        <v>220</v>
      </c>
      <c r="C281" t="s">
        <v>326</v>
      </c>
      <c r="D281" t="str">
        <f>HYPERLINK("https://engineering.unl.edu/unl-earns-3-million-grant-launch-robotics-curriculum-schools/","https://engineering.unl.edu/unl-earns-3-million-grant-launch-robotics-curriculum-schools/")</f>
        <v>https://engineering.unl.edu/unl-earns-3-million-grant-launch-robotics-curriculum-schools/</v>
      </c>
    </row>
    <row r="282" spans="1:4" x14ac:dyDescent="0.25">
      <c r="A282" t="s">
        <v>104</v>
      </c>
      <c r="B282" t="s">
        <v>220</v>
      </c>
      <c r="C282" t="s">
        <v>306</v>
      </c>
      <c r="D282" t="str">
        <f>HYPERLINK("https://robotical.io/about/educators/funding-and-grants/us-funding-sources-state-grants/","https://robotical.io/about/educators/funding-and-grants/us-funding-sources-state-grants/")</f>
        <v>https://robotical.io/about/educators/funding-and-grants/us-funding-sources-state-grants/</v>
      </c>
    </row>
    <row r="283" spans="1:4" x14ac:dyDescent="0.25">
      <c r="A283" t="s">
        <v>104</v>
      </c>
      <c r="B283" t="s">
        <v>220</v>
      </c>
      <c r="C283" t="s">
        <v>336</v>
      </c>
      <c r="D283" t="str">
        <f>HYPERLINK("http://mechatronics.engineering.nyu.edu/pdf/using-robotics-as-the-technological-foundation-for-the-tpack-framework-in-k12-classrooms.pdf","http://mechatronics.engineering.nyu.edu/pdf/using-robotics-as-the-technological-foundation-for-the-tpack-framework-in-k12-classrooms.pdf")</f>
        <v>http://mechatronics.engineering.nyu.edu/pdf/using-robotics-as-the-technological-foundation-for-the-tpack-framework-in-k12-classrooms.pdf</v>
      </c>
    </row>
    <row r="284" spans="1:4" x14ac:dyDescent="0.25">
      <c r="A284" t="s">
        <v>104</v>
      </c>
      <c r="B284" t="s">
        <v>220</v>
      </c>
      <c r="C284" t="s">
        <v>340</v>
      </c>
      <c r="D284" t="str">
        <f>HYPERLINK("https://books.google.com/books?hl=en&amp;lr=&amp;id=WrckEQAAQBAJ&amp;oi=fnd&amp;pg=PA163&amp;dq=robot+classroom+grants&amp;ots=Ug7-MYuT9d&amp;sig=xZ84UnTJ_g4riYmNRTR8slSIne8","https://books.google.com/books?hl=en&amp;lr=&amp;id=WrckEQAAQBAJ&amp;oi=fnd&amp;pg=PA163&amp;dq=robot+classroom+grants&amp;ots=Ug7-MYuT9d&amp;sig=xZ84UnTJ_g4riYmNRTR8slSIne8")</f>
        <v>https://books.google.com/books?hl=en&amp;lr=&amp;id=WrckEQAAQBAJ&amp;oi=fnd&amp;pg=PA163&amp;dq=robot+classroom+grants&amp;ots=Ug7-MYuT9d&amp;sig=xZ84UnTJ_g4riYmNRTR8slSIne8</v>
      </c>
    </row>
    <row r="285" spans="1:4" x14ac:dyDescent="0.25">
      <c r="A285" t="s">
        <v>104</v>
      </c>
      <c r="B285" t="s">
        <v>220</v>
      </c>
      <c r="C285" t="s">
        <v>328</v>
      </c>
      <c r="D285" t="str">
        <f>HYPERLINK("https://sfeducationfoundation.org/walking-talking-robot-engages-students-and-helps-them-learn-about-computer-programming/","https://sfeducationfoundation.org/walking-talking-robot-engages-students-and-helps-them-learn-about-computer-programming/")</f>
        <v>https://sfeducationfoundation.org/walking-talking-robot-engages-students-and-helps-them-learn-about-computer-programming/</v>
      </c>
    </row>
    <row r="286" spans="1:4" x14ac:dyDescent="0.25">
      <c r="A286" t="s">
        <v>104</v>
      </c>
      <c r="B286" t="s">
        <v>220</v>
      </c>
      <c r="C286" t="s">
        <v>310</v>
      </c>
      <c r="D286" t="str">
        <f>HYPERLINK("https://www.education.nh.gov/news/want-start-robotics-team","https://www.education.nh.gov/news/want-start-robotics-team")</f>
        <v>https://www.education.nh.gov/news/want-start-robotics-team</v>
      </c>
    </row>
    <row r="287" spans="1:4" x14ac:dyDescent="0.25">
      <c r="A287" t="s">
        <v>104</v>
      </c>
      <c r="B287" t="s">
        <v>220</v>
      </c>
      <c r="C287" t="s">
        <v>292</v>
      </c>
      <c r="D287" t="str">
        <f>HYPERLINK("https://nassaueducationfoundation.org/2017/10/11/west-nassau-high-school-hosts-robotics-season-kick-off/","https://nassaueducationfoundation.org/2017/10/11/west-nassau-high-school-hosts-robotics-season-kick-off/")</f>
        <v>https://nassaueducationfoundation.org/2017/10/11/west-nassau-high-school-hosts-robotics-season-kick-off/</v>
      </c>
    </row>
    <row r="288" spans="1:4" x14ac:dyDescent="0.25">
      <c r="A288" t="s">
        <v>104</v>
      </c>
      <c r="B288" t="s">
        <v>220</v>
      </c>
      <c r="C288" t="s">
        <v>281</v>
      </c>
      <c r="D288" t="str">
        <f>HYPERLINK("https://www.wpi.edu/k-12/robotics-resource-center/grants","https://www.wpi.edu/k-12/robotics-resource-center/grants")</f>
        <v>https://www.wpi.edu/k-12/robotics-resource-center/grants</v>
      </c>
    </row>
    <row r="289" spans="1:4" x14ac:dyDescent="0.25">
      <c r="A289" t="s">
        <v>104</v>
      </c>
      <c r="B289" t="s">
        <v>220</v>
      </c>
      <c r="C289" t="s">
        <v>294</v>
      </c>
      <c r="D289" t="str">
        <f>HYPERLINK("https://www.gov.uk/government/news/thousands-more-to-train-in-future-tech-like-ai-as-government-unveils-over-11-billion-package-to-skill-up-uk","https://www.gov.uk/government/news/thousands-more-to-train-in-future-tech-like-ai-as-government-unveils-over-11-billion-package-to-skill-up-uk")</f>
        <v>https://www.gov.uk/government/news/thousands-more-to-train-in-future-tech-like-ai-as-government-unveils-over-11-billion-package-to-skill-up-uk</v>
      </c>
    </row>
    <row r="290" spans="1:4" x14ac:dyDescent="0.25">
      <c r="A290" t="s">
        <v>104</v>
      </c>
      <c r="B290" t="s">
        <v>220</v>
      </c>
      <c r="C290" t="s">
        <v>297</v>
      </c>
      <c r="D290" t="str">
        <f>HYPERLINK("https://www.restack.io/p/ai-for-human-robot-collaboration-answer-grant-funding-cat-ai","https://www.restack.io/p/ai-for-human-robot-collaboration-answer-grant-funding-cat-ai")</f>
        <v>https://www.restack.io/p/ai-for-human-robot-collaboration-answer-grant-funding-cat-ai</v>
      </c>
    </row>
    <row r="291" spans="1:4" x14ac:dyDescent="0.25">
      <c r="A291" t="s">
        <v>104</v>
      </c>
      <c r="B291" t="s">
        <v>220</v>
      </c>
      <c r="C291" t="s">
        <v>75</v>
      </c>
      <c r="D291" t="str">
        <f>HYPERLINK("https://www.stem.org.uk/resources/community/collection/134293/funding-stem-related-activities","https://www.stem.org.uk/resources/community/collection/134293/funding-stem-related-activities")</f>
        <v>https://www.stem.org.uk/resources/community/collection/134293/funding-stem-related-activities</v>
      </c>
    </row>
    <row r="292" spans="1:4" x14ac:dyDescent="0.25">
      <c r="A292" t="s">
        <v>104</v>
      </c>
      <c r="B292" t="s">
        <v>549</v>
      </c>
      <c r="C292" t="s">
        <v>555</v>
      </c>
      <c r="D292" t="str">
        <f>HYPERLINK("https://budget.lis.virginia.gov/amendment/2016/1/SB30/Introduced/CA/138/10s/","https://budget.lis.virginia.gov/amendment/2016/1/SB30/Introduced/CA/138/10s/")</f>
        <v>https://budget.lis.virginia.gov/amendment/2016/1/SB30/Introduced/CA/138/10s/</v>
      </c>
    </row>
    <row r="293" spans="1:4" x14ac:dyDescent="0.25">
      <c r="A293" t="s">
        <v>104</v>
      </c>
      <c r="B293" t="s">
        <v>549</v>
      </c>
      <c r="C293" t="s">
        <v>21</v>
      </c>
      <c r="D293" t="str">
        <f>HYPERLINK("https://www.societyforscience.org/outreach-and-equity/stem-action-grants/2024-stem-action-grantees/","https://www.societyforscience.org/outreach-and-equity/stem-action-grants/2024-stem-action-grantees/")</f>
        <v>https://www.societyforscience.org/outreach-and-equity/stem-action-grants/2024-stem-action-grantees/</v>
      </c>
    </row>
    <row r="294" spans="1:4" x14ac:dyDescent="0.25">
      <c r="A294" t="s">
        <v>104</v>
      </c>
      <c r="B294" t="s">
        <v>549</v>
      </c>
      <c r="C294" t="s">
        <v>51</v>
      </c>
      <c r="D294" t="str">
        <f>HYPERLINK("https://robotics.nasa.gov/2024-2025-frc-sponsorship-grants/","https://robotics.nasa.gov/2024-2025-frc-sponsorship-grants/")</f>
        <v>https://robotics.nasa.gov/2024-2025-frc-sponsorship-grants/</v>
      </c>
    </row>
    <row r="295" spans="1:4" x14ac:dyDescent="0.25">
      <c r="A295" t="s">
        <v>104</v>
      </c>
      <c r="B295" t="s">
        <v>549</v>
      </c>
      <c r="C295" t="s">
        <v>575</v>
      </c>
      <c r="D295" t="str">
        <f>HYPERLINK("https://search.proquest.com/openview/83fcc2541a464bc103220c876dd6494b/1?pq-origsite=gscholar&amp;cbl=18750","https://search.proquest.com/openview/83fcc2541a464bc103220c876dd6494b/1?pq-origsite=gscholar&amp;cbl=18750")</f>
        <v>https://search.proquest.com/openview/83fcc2541a464bc103220c876dd6494b/1?pq-origsite=gscholar&amp;cbl=18750</v>
      </c>
    </row>
    <row r="296" spans="1:4" x14ac:dyDescent="0.25">
      <c r="A296" t="s">
        <v>104</v>
      </c>
      <c r="B296" t="s">
        <v>549</v>
      </c>
      <c r="C296" t="s">
        <v>563</v>
      </c>
      <c r="D296" t="str">
        <f>HYPERLINK("https://ujcontent.uj.ac.za/esploro/outputs/conferencePaper/AfrikaBot--design-of-a-robotics/9913236007691","https://ujcontent.uj.ac.za/esploro/outputs/conferencePaper/AfrikaBot--design-of-a-robotics/9913236007691")</f>
        <v>https://ujcontent.uj.ac.za/esploro/outputs/conferencePaper/AfrikaBot--design-of-a-robotics/9913236007691</v>
      </c>
    </row>
    <row r="297" spans="1:4" x14ac:dyDescent="0.25">
      <c r="A297" t="s">
        <v>104</v>
      </c>
      <c r="B297" t="s">
        <v>549</v>
      </c>
      <c r="C297" t="s">
        <v>558</v>
      </c>
      <c r="D297" t="str">
        <f>HYPERLINK("https://peer.asee.org/20224.pdf","https://peer.asee.org/20224.pdf")</f>
        <v>https://peer.asee.org/20224.pdf</v>
      </c>
    </row>
    <row r="298" spans="1:4" x14ac:dyDescent="0.25">
      <c r="A298" t="s">
        <v>104</v>
      </c>
      <c r="B298" t="s">
        <v>549</v>
      </c>
      <c r="C298" t="s">
        <v>564</v>
      </c>
      <c r="D298" t="str">
        <f>HYPERLINK("https://docs.lib.purdue.edu/jpeer/vol9/iss2/7/","https://docs.lib.purdue.edu/jpeer/vol9/iss2/7/")</f>
        <v>https://docs.lib.purdue.edu/jpeer/vol9/iss2/7/</v>
      </c>
    </row>
    <row r="299" spans="1:4" x14ac:dyDescent="0.25">
      <c r="A299" t="s">
        <v>104</v>
      </c>
      <c r="B299" t="s">
        <v>549</v>
      </c>
      <c r="C299" t="s">
        <v>567</v>
      </c>
      <c r="D299" t="str">
        <f>HYPERLINK("https://peer.asee.org/drone-labs-to-promote-interest-in-science-technology-engineering-and-mathematics-stem","https://peer.asee.org/drone-labs-to-promote-interest-in-science-technology-engineering-and-mathematics-stem")</f>
        <v>https://peer.asee.org/drone-labs-to-promote-interest-in-science-technology-engineering-and-mathematics-stem</v>
      </c>
    </row>
    <row r="300" spans="1:4" x14ac:dyDescent="0.25">
      <c r="A300" t="s">
        <v>104</v>
      </c>
      <c r="B300" t="s">
        <v>549</v>
      </c>
      <c r="C300" t="s">
        <v>554</v>
      </c>
      <c r="D300" t="str">
        <f>HYPERLINK("https://education.theiet.org/support/funding/","https://education.theiet.org/support/funding/")</f>
        <v>https://education.theiet.org/support/funding/</v>
      </c>
    </row>
    <row r="301" spans="1:4" x14ac:dyDescent="0.25">
      <c r="A301" t="s">
        <v>104</v>
      </c>
      <c r="B301" t="s">
        <v>549</v>
      </c>
      <c r="C301" t="s">
        <v>568</v>
      </c>
      <c r="D301" t="str">
        <f>HYPERLINK("https://peer.asee.org/26975.pdf","https://peer.asee.org/26975.pdf")</f>
        <v>https://peer.asee.org/26975.pdf</v>
      </c>
    </row>
    <row r="302" spans="1:4" x14ac:dyDescent="0.25">
      <c r="A302" t="s">
        <v>104</v>
      </c>
      <c r="B302" t="s">
        <v>549</v>
      </c>
      <c r="C302" t="s">
        <v>559</v>
      </c>
      <c r="D302" t="str">
        <f>HYPERLINK("https://library.iated.org/view/BROWN2011ENH","https://library.iated.org/view/BROWN2011ENH")</f>
        <v>https://library.iated.org/view/BROWN2011ENH</v>
      </c>
    </row>
    <row r="303" spans="1:4" x14ac:dyDescent="0.25">
      <c r="A303" t="s">
        <v>104</v>
      </c>
      <c r="B303" t="s">
        <v>549</v>
      </c>
      <c r="C303" t="s">
        <v>19</v>
      </c>
      <c r="D303" t="str">
        <f>HYPERLINK("https://new.nsf.gov/funding/opportunities/dcl-enhancing-stem-education-research-capacity-workforce","https://new.nsf.gov/funding/opportunities/dcl-enhancing-stem-education-research-capacity-workforce")</f>
        <v>https://new.nsf.gov/funding/opportunities/dcl-enhancing-stem-education-research-capacity-workforce</v>
      </c>
    </row>
    <row r="304" spans="1:4" x14ac:dyDescent="0.25">
      <c r="A304" t="s">
        <v>104</v>
      </c>
      <c r="B304" t="s">
        <v>549</v>
      </c>
      <c r="C304" t="s">
        <v>577</v>
      </c>
      <c r="D304" t="str">
        <f>HYPERLINK("https://www.academia.edu/download/66953652/IEEE-RAM_2015-0102_20Accepted_20Manuscript_20eSMAC_20an_20Affordable_20Modular_20Robotic_20Kit_20for_20Integrated_20STEM_20Education_FIN.pdf","https://www.academia.edu/download/66953652/IEEE-RAM_2015-0102_20Accepted_20Manuscript_20eSMAC_20an_20Affordable_20Modular_20Robotic_20Kit_20for_20Integrated_20STEM_20Education_FIN.pdf")</f>
        <v>https://www.academia.edu/download/66953652/IEEE-RAM_2015-0102_20Accepted_20Manuscript_20eSMAC_20an_20Affordable_20Modular_20Robotic_20Kit_20for_20Integrated_20STEM_20Education_FIN.pdf</v>
      </c>
    </row>
    <row r="305" spans="1:4" x14ac:dyDescent="0.25">
      <c r="A305" t="s">
        <v>104</v>
      </c>
      <c r="B305" t="s">
        <v>549</v>
      </c>
      <c r="C305" t="s">
        <v>574</v>
      </c>
      <c r="D305" t="str">
        <f>HYPERLINK("https://www.taylorfrancis.com/chapters/edit/10.1201/9781003514626-2/eureka-stem-robotics-artificial-intelligence-initiatives-wales-chow-siing-sia-esyin-chew","https://www.taylorfrancis.com/chapters/edit/10.1201/9781003514626-2/eureka-stem-robotics-artificial-intelligence-initiatives-wales-chow-siing-sia-esyin-chew")</f>
        <v>https://www.taylorfrancis.com/chapters/edit/10.1201/9781003514626-2/eureka-stem-robotics-artificial-intelligence-initiatives-wales-chow-siing-sia-esyin-chew</v>
      </c>
    </row>
    <row r="306" spans="1:4" x14ac:dyDescent="0.25">
      <c r="A306" t="s">
        <v>104</v>
      </c>
      <c r="B306" t="s">
        <v>549</v>
      </c>
      <c r="C306" t="s">
        <v>569</v>
      </c>
      <c r="D306" t="str">
        <f>HYPERLINK("http://mechatronics.engineering.nyu.edu/pdf/fundamental-optimizing-a-teacher-professional-development-program-for-teaching-stem-with-robotics-through-design-based-research.pdf","http://mechatronics.engineering.nyu.edu/pdf/fundamental-optimizing-a-teacher-professional-development-program-for-teaching-stem-with-robotics-through-design-based-research.pdf")</f>
        <v>http://mechatronics.engineering.nyu.edu/pdf/fundamental-optimizing-a-teacher-professional-development-program-for-teaching-stem-with-robotics-through-design-based-research.pdf</v>
      </c>
    </row>
    <row r="307" spans="1:4" x14ac:dyDescent="0.25">
      <c r="A307" t="s">
        <v>104</v>
      </c>
      <c r="B307" t="s">
        <v>549</v>
      </c>
      <c r="C307" t="s">
        <v>557</v>
      </c>
      <c r="D307" t="str">
        <f>HYPERLINK("https://www.makewonder.com/en/funding/","https://www.makewonder.com/en/funding/")</f>
        <v>https://www.makewonder.com/en/funding/</v>
      </c>
    </row>
    <row r="308" spans="1:4" x14ac:dyDescent="0.25">
      <c r="A308" t="s">
        <v>104</v>
      </c>
      <c r="B308" t="s">
        <v>549</v>
      </c>
      <c r="C308" t="s">
        <v>47</v>
      </c>
      <c r="D308" t="str">
        <f>HYPERLINK("https://www.vexrobotics.com/grants?srsltid=AfmBOoo6nOptUzdMTBaFuuG0XVJFIguz48aAYb9xyoHFlstp4pKBmZww","https://www.vexrobotics.com/grants?srsltid=AfmBOoo6nOptUzdMTBaFuuG0XVJFIguz48aAYb9xyoHFlstp4pKBmZww")</f>
        <v>https://www.vexrobotics.com/grants?srsltid=AfmBOoo6nOptUzdMTBaFuuG0XVJFIguz48aAYb9xyoHFlstp4pKBmZww</v>
      </c>
    </row>
    <row r="309" spans="1:4" x14ac:dyDescent="0.25">
      <c r="A309" t="s">
        <v>104</v>
      </c>
      <c r="B309" t="s">
        <v>549</v>
      </c>
      <c r="C309" t="s">
        <v>300</v>
      </c>
      <c r="D309" t="str">
        <f>HYPERLINK("https://www.robolink.com/pages/grants-funding?srsltid=AfmBOoq8hd4lik7oXv6EUt4CBk3QNEJjfgaoXsmwT-kvk7YYHEvgk0Ya","https://www.robolink.com/pages/grants-funding?srsltid=AfmBOoq8hd4lik7oXv6EUt4CBk3QNEJjfgaoXsmwT-kvk7YYHEvgk0Ya")</f>
        <v>https://www.robolink.com/pages/grants-funding?srsltid=AfmBOoq8hd4lik7oXv6EUt4CBk3QNEJjfgaoXsmwT-kvk7YYHEvgk0Ya</v>
      </c>
    </row>
    <row r="310" spans="1:4" x14ac:dyDescent="0.25">
      <c r="A310" t="s">
        <v>104</v>
      </c>
      <c r="B310" t="s">
        <v>549</v>
      </c>
      <c r="C310" t="s">
        <v>64</v>
      </c>
      <c r="D310" t="str">
        <f>HYPERLINK("https://www.tandfonline.com/doi/abs/10.1080/15391523.2010.10782557","https://www.tandfonline.com/doi/abs/10.1080/15391523.2010.10782557")</f>
        <v>https://www.tandfonline.com/doi/abs/10.1080/15391523.2010.10782557</v>
      </c>
    </row>
    <row r="311" spans="1:4" x14ac:dyDescent="0.25">
      <c r="A311" t="s">
        <v>104</v>
      </c>
      <c r="B311" t="s">
        <v>549</v>
      </c>
      <c r="C311" t="s">
        <v>562</v>
      </c>
      <c r="D311" t="str">
        <f>HYPERLINK("https://arc.aiaa.org/doi/pdf/10.2514/6.2011-5200","https://arc.aiaa.org/doi/pdf/10.2514/6.2011-5200")</f>
        <v>https://arc.aiaa.org/doi/pdf/10.2514/6.2011-5200</v>
      </c>
    </row>
    <row r="312" spans="1:4" x14ac:dyDescent="0.25">
      <c r="A312" t="s">
        <v>104</v>
      </c>
      <c r="B312" t="s">
        <v>549</v>
      </c>
      <c r="C312" t="s">
        <v>560</v>
      </c>
      <c r="D312" t="str">
        <f>HYPERLINK("https://search.proquest.com/openview/056caf5aef3d8f2378053593f3052ec4/1?pq-origsite=gscholar&amp;cbl=42653","https://search.proquest.com/openview/056caf5aef3d8f2378053593f3052ec4/1?pq-origsite=gscholar&amp;cbl=42653")</f>
        <v>https://search.proquest.com/openview/056caf5aef3d8f2378053593f3052ec4/1?pq-origsite=gscholar&amp;cbl=42653</v>
      </c>
    </row>
    <row r="313" spans="1:4" x14ac:dyDescent="0.25">
      <c r="A313" t="s">
        <v>104</v>
      </c>
      <c r="B313" t="s">
        <v>549</v>
      </c>
      <c r="C313" t="s">
        <v>551</v>
      </c>
      <c r="D313" t="str">
        <f>HYPERLINK("https://indiastemfoundation.org/","https://indiastemfoundation.org/")</f>
        <v>https://indiastemfoundation.org/</v>
      </c>
    </row>
    <row r="314" spans="1:4" x14ac:dyDescent="0.25">
      <c r="A314" t="s">
        <v>104</v>
      </c>
      <c r="B314" t="s">
        <v>549</v>
      </c>
      <c r="C314" t="s">
        <v>576</v>
      </c>
      <c r="D314" t="str">
        <f>HYPERLINK("https://www.pnas.org/doi/abs/10.1073/pnas.2034195100","https://www.pnas.org/doi/abs/10.1073/pnas.2034195100")</f>
        <v>https://www.pnas.org/doi/abs/10.1073/pnas.2034195100</v>
      </c>
    </row>
    <row r="315" spans="1:4" x14ac:dyDescent="0.25">
      <c r="A315" t="s">
        <v>104</v>
      </c>
      <c r="B315" t="s">
        <v>549</v>
      </c>
      <c r="C315" t="s">
        <v>573</v>
      </c>
      <c r="D315" t="str">
        <f>HYPERLINK("https://www.science.org/doi/abs/10.1126/science.1065637","https://www.science.org/doi/abs/10.1126/science.1065637")</f>
        <v>https://www.science.org/doi/abs/10.1126/science.1065637</v>
      </c>
    </row>
    <row r="316" spans="1:4" x14ac:dyDescent="0.25">
      <c r="A316" t="s">
        <v>104</v>
      </c>
      <c r="B316" t="s">
        <v>549</v>
      </c>
      <c r="C316" t="s">
        <v>571</v>
      </c>
      <c r="D316" t="str">
        <f>HYPERLINK("https://link.springer.com/chapter/10.1007/978-3-030-27544-0_30","https://link.springer.com/chapter/10.1007/978-3-030-27544-0_30")</f>
        <v>https://link.springer.com/chapter/10.1007/978-3-030-27544-0_30</v>
      </c>
    </row>
    <row r="317" spans="1:4" x14ac:dyDescent="0.25">
      <c r="A317" t="s">
        <v>104</v>
      </c>
      <c r="B317" t="s">
        <v>549</v>
      </c>
      <c r="C317" t="s">
        <v>550</v>
      </c>
      <c r="D317" t="str">
        <f>HYPERLINK("https://new.nsf.gov/focus-areas/robotics","https://new.nsf.gov/focus-areas/robotics")</f>
        <v>https://new.nsf.gov/focus-areas/robotics</v>
      </c>
    </row>
    <row r="318" spans="1:4" x14ac:dyDescent="0.25">
      <c r="A318" t="s">
        <v>104</v>
      </c>
      <c r="B318" t="s">
        <v>549</v>
      </c>
      <c r="C318" t="s">
        <v>561</v>
      </c>
      <c r="D318" t="str">
        <f>HYPERLINK("https://www.sciencedirect.com/science/article/pii/S092188901500158X","https://www.sciencedirect.com/science/article/pii/S092188901500158X")</f>
        <v>https://www.sciencedirect.com/science/article/pii/S092188901500158X</v>
      </c>
    </row>
    <row r="319" spans="1:4" x14ac:dyDescent="0.25">
      <c r="A319" t="s">
        <v>104</v>
      </c>
      <c r="B319" t="s">
        <v>549</v>
      </c>
      <c r="C319" t="s">
        <v>552</v>
      </c>
      <c r="D319" t="str">
        <f>HYPERLINK("https://seedfund.nsf.gov/topics/robotics/","https://seedfund.nsf.gov/topics/robotics/")</f>
        <v>https://seedfund.nsf.gov/topics/robotics/</v>
      </c>
    </row>
    <row r="320" spans="1:4" x14ac:dyDescent="0.25">
      <c r="A320" t="s">
        <v>104</v>
      </c>
      <c r="B320" t="s">
        <v>549</v>
      </c>
      <c r="C320" t="s">
        <v>48</v>
      </c>
      <c r="D320" t="str">
        <f>HYPERLINK("https://first.dodstem.us/access","https://first.dodstem.us/access")</f>
        <v>https://first.dodstem.us/access</v>
      </c>
    </row>
    <row r="321" spans="1:4" x14ac:dyDescent="0.25">
      <c r="A321" t="s">
        <v>104</v>
      </c>
      <c r="B321" t="s">
        <v>549</v>
      </c>
      <c r="C321" t="s">
        <v>39</v>
      </c>
      <c r="D321" t="str">
        <f>HYPERLINK("https://stem-supplies.com/stem-resources/funding?srsltid=AfmBOorNfxko5BB_zqrnhq82-RzYfhpQ4I7izOBqNSpKwiLR9uRJAA__","https://stem-supplies.com/stem-resources/funding?srsltid=AfmBOorNfxko5BB_zqrnhq82-RzYfhpQ4I7izOBqNSpKwiLR9uRJAA__")</f>
        <v>https://stem-supplies.com/stem-resources/funding?srsltid=AfmBOorNfxko5BB_zqrnhq82-RzYfhpQ4I7izOBqNSpKwiLR9uRJAA__</v>
      </c>
    </row>
    <row r="322" spans="1:4" x14ac:dyDescent="0.25">
      <c r="A322" t="s">
        <v>104</v>
      </c>
      <c r="B322" t="s">
        <v>549</v>
      </c>
      <c r="C322" t="s">
        <v>59</v>
      </c>
      <c r="D322" t="str">
        <f>HYPERLINK("https://stemfinity.com/pages/stem-grants?srsltid=AfmBOopnj1gTj95szauof9LitNdjL8aahCZuTQHNTPS9fLs-OI_x3AAf","https://stemfinity.com/pages/stem-grants?srsltid=AfmBOopnj1gTj95szauof9LitNdjL8aahCZuTQHNTPS9fLs-OI_x3AAf")</f>
        <v>https://stemfinity.com/pages/stem-grants?srsltid=AfmBOopnj1gTj95szauof9LitNdjL8aahCZuTQHNTPS9fLs-OI_x3AAf</v>
      </c>
    </row>
    <row r="323" spans="1:4" x14ac:dyDescent="0.25">
      <c r="A323" t="s">
        <v>104</v>
      </c>
      <c r="B323" t="s">
        <v>549</v>
      </c>
      <c r="C323" t="s">
        <v>553</v>
      </c>
      <c r="D323" t="str">
        <f>HYPERLINK("https://www.mistempartnership.com/what-we-do/financial-support.html","https://www.mistempartnership.com/what-we-do/financial-support.html")</f>
        <v>https://www.mistempartnership.com/what-we-do/financial-support.html</v>
      </c>
    </row>
    <row r="324" spans="1:4" x14ac:dyDescent="0.25">
      <c r="A324" t="s">
        <v>104</v>
      </c>
      <c r="B324" t="s">
        <v>549</v>
      </c>
      <c r="C324" t="s">
        <v>22</v>
      </c>
      <c r="D324" t="str">
        <f>HYPERLINK("https://new.nsf.gov/funding/initiatives/broadening-participation/supporting-women-girls-stem","https://new.nsf.gov/funding/initiatives/broadening-participation/supporting-women-girls-stem")</f>
        <v>https://new.nsf.gov/funding/initiatives/broadening-participation/supporting-women-girls-stem</v>
      </c>
    </row>
    <row r="325" spans="1:4" x14ac:dyDescent="0.25">
      <c r="A325" t="s">
        <v>104</v>
      </c>
      <c r="B325" t="s">
        <v>549</v>
      </c>
      <c r="C325" t="s">
        <v>565</v>
      </c>
      <c r="D325" t="str">
        <f>HYPERLINK("https://www.igi-global.com/chapter/the-impact-of-educational-robotics-on-student-stem-learning-attitudes-and-workplace-skills/84958","https://www.igi-global.com/chapter/the-impact-of-educational-robotics-on-student-stem-learning-attitudes-and-workplace-skills/84958")</f>
        <v>https://www.igi-global.com/chapter/the-impact-of-educational-robotics-on-student-stem-learning-attitudes-and-workplace-skills/84958</v>
      </c>
    </row>
    <row r="326" spans="1:4" x14ac:dyDescent="0.25">
      <c r="A326" t="s">
        <v>104</v>
      </c>
      <c r="B326" t="s">
        <v>549</v>
      </c>
      <c r="C326" t="s">
        <v>572</v>
      </c>
      <c r="D326" t="str">
        <f>HYPERLINK("https://ieeexplore.ieee.org/abstract/document/9629199/","https://ieeexplore.ieee.org/abstract/document/9629199/")</f>
        <v>https://ieeexplore.ieee.org/abstract/document/9629199/</v>
      </c>
    </row>
    <row r="327" spans="1:4" x14ac:dyDescent="0.25">
      <c r="A327" t="s">
        <v>104</v>
      </c>
      <c r="B327" t="s">
        <v>549</v>
      </c>
      <c r="C327" t="s">
        <v>566</v>
      </c>
      <c r="D327" t="str">
        <f>HYPERLINK("https://search.informit.org/doi/abs/10.3316/ielapa.329548434489112","https://search.informit.org/doi/abs/10.3316/ielapa.329548434489112")</f>
        <v>https://search.informit.org/doi/abs/10.3316/ielapa.329548434489112</v>
      </c>
    </row>
    <row r="328" spans="1:4" x14ac:dyDescent="0.25">
      <c r="A328" t="s">
        <v>104</v>
      </c>
      <c r="B328" t="s">
        <v>549</v>
      </c>
      <c r="C328" t="s">
        <v>570</v>
      </c>
      <c r="D328" t="str">
        <f>HYPERLINK("https://link.springer.com/article/10.1007/S10956-016-9628-2","https://link.springer.com/article/10.1007/S10956-016-9628-2")</f>
        <v>https://link.springer.com/article/10.1007/S10956-016-9628-2</v>
      </c>
    </row>
    <row r="329" spans="1:4" x14ac:dyDescent="0.25">
      <c r="A329" t="s">
        <v>104</v>
      </c>
      <c r="B329" t="s">
        <v>549</v>
      </c>
      <c r="C329" t="s">
        <v>556</v>
      </c>
      <c r="D329" t="str">
        <f>HYPERLINK("https://www.grants.gov/search-results-detail/348815","https://www.grants.gov/search-results-detail/348815")</f>
        <v>https://www.grants.gov/search-results-detail/348815</v>
      </c>
    </row>
    <row r="330" spans="1:4" x14ac:dyDescent="0.25">
      <c r="A330" t="s">
        <v>104</v>
      </c>
      <c r="B330" t="s">
        <v>105</v>
      </c>
      <c r="C330" t="s">
        <v>214</v>
      </c>
      <c r="D330" t="str">
        <f>HYPERLINK("https://www.tandfonline.com/doi/abs/10.1080/21548455.2013.872313","https://www.tandfonline.com/doi/abs/10.1080/21548455.2013.872313")</f>
        <v>https://www.tandfonline.com/doi/abs/10.1080/21548455.2013.872313</v>
      </c>
    </row>
    <row r="331" spans="1:4" x14ac:dyDescent="0.25">
      <c r="A331" t="s">
        <v>104</v>
      </c>
      <c r="B331" t="s">
        <v>105</v>
      </c>
      <c r="C331" t="s">
        <v>206</v>
      </c>
      <c r="D331" t="str">
        <f>HYPERLINK("https://www.jstem.org/jstem/index.php/JSTEM/article/view/2418","https://www.jstem.org/jstem/index.php/JSTEM/article/view/2418")</f>
        <v>https://www.jstem.org/jstem/index.php/JSTEM/article/view/2418</v>
      </c>
    </row>
    <row r="332" spans="1:4" x14ac:dyDescent="0.25">
      <c r="A332" t="s">
        <v>104</v>
      </c>
      <c r="B332" t="s">
        <v>105</v>
      </c>
      <c r="C332" t="s">
        <v>128</v>
      </c>
      <c r="D332" t="str">
        <f>HYPERLINK("https://www.spacefoundation.org/2022/09/21/10-stem-and-steam-education-grants-teachers-should-know-about/","https://www.spacefoundation.org/2022/09/21/10-stem-and-steam-education-grants-teachers-should-know-about/")</f>
        <v>https://www.spacefoundation.org/2022/09/21/10-stem-and-steam-education-grants-teachers-should-know-about/</v>
      </c>
    </row>
    <row r="333" spans="1:4" x14ac:dyDescent="0.25">
      <c r="A333" t="s">
        <v>104</v>
      </c>
      <c r="B333" t="s">
        <v>105</v>
      </c>
      <c r="C333" t="s">
        <v>124</v>
      </c>
      <c r="D333" t="str">
        <f>HYPERLINK("https://www.alleducationschools.com/blog/grants-for-teachers/","https://www.alleducationschools.com/blog/grants-for-teachers/")</f>
        <v>https://www.alleducationschools.com/blog/grants-for-teachers/</v>
      </c>
    </row>
    <row r="334" spans="1:4" x14ac:dyDescent="0.25">
      <c r="A334" t="s">
        <v>104</v>
      </c>
      <c r="B334" t="s">
        <v>105</v>
      </c>
      <c r="C334" t="s">
        <v>107</v>
      </c>
      <c r="D334" t="str">
        <f>HYPERLINK("https://www.weareteachers.com/education-grants/","https://www.weareteachers.com/education-grants/")</f>
        <v>https://www.weareteachers.com/education-grants/</v>
      </c>
    </row>
    <row r="335" spans="1:4" x14ac:dyDescent="0.25">
      <c r="A335" t="s">
        <v>104</v>
      </c>
      <c r="B335" t="s">
        <v>105</v>
      </c>
      <c r="C335" t="s">
        <v>205</v>
      </c>
      <c r="D335" t="str">
        <f>HYPERLINK("https://www.frontiersin.org/articles/10.3389/fpsyg.2021.734290/full","https://www.frontiersin.org/articles/10.3389/fpsyg.2021.734290/full")</f>
        <v>https://www.frontiersin.org/articles/10.3389/fpsyg.2021.734290/full</v>
      </c>
    </row>
    <row r="336" spans="1:4" x14ac:dyDescent="0.25">
      <c r="A336" t="s">
        <v>104</v>
      </c>
      <c r="B336" t="s">
        <v>105</v>
      </c>
      <c r="C336" t="s">
        <v>216</v>
      </c>
      <c r="D336" t="str">
        <f>HYPERLINK("https://par.nsf.gov/biblio/10089320","https://par.nsf.gov/biblio/10089320")</f>
        <v>https://par.nsf.gov/biblio/10089320</v>
      </c>
    </row>
    <row r="337" spans="1:4" x14ac:dyDescent="0.25">
      <c r="A337" t="s">
        <v>104</v>
      </c>
      <c r="B337" t="s">
        <v>105</v>
      </c>
      <c r="C337" t="s">
        <v>175</v>
      </c>
      <c r="D337" t="str">
        <f>HYPERLINK("https://new.nsf.gov/funding/opportunities/aisl-advancing-informal-stem-learning","https://new.nsf.gov/funding/opportunities/aisl-advancing-informal-stem-learning")</f>
        <v>https://new.nsf.gov/funding/opportunities/aisl-advancing-informal-stem-learning</v>
      </c>
    </row>
    <row r="338" spans="1:4" x14ac:dyDescent="0.25">
      <c r="A338" t="s">
        <v>104</v>
      </c>
      <c r="B338" t="s">
        <v>105</v>
      </c>
      <c r="C338" t="s">
        <v>34</v>
      </c>
      <c r="D338" t="str">
        <f>HYPERLINK("http://www.afterschoolalliance.org/stemfunding.cfm","http://www.afterschoolalliance.org/stemfunding.cfm")</f>
        <v>http://www.afterschoolalliance.org/stemfunding.cfm</v>
      </c>
    </row>
    <row r="339" spans="1:4" x14ac:dyDescent="0.25">
      <c r="A339" t="s">
        <v>104</v>
      </c>
      <c r="B339" t="s">
        <v>105</v>
      </c>
      <c r="C339" t="s">
        <v>127</v>
      </c>
      <c r="D339" t="str">
        <f>HYPERLINK("https://www.tsin.org/applications-now-open-for-k-12-stem-classroom-grants","https://www.tsin.org/applications-now-open-for-k-12-stem-classroom-grants")</f>
        <v>https://www.tsin.org/applications-now-open-for-k-12-stem-classroom-grants</v>
      </c>
    </row>
    <row r="340" spans="1:4" x14ac:dyDescent="0.25">
      <c r="A340" t="s">
        <v>104</v>
      </c>
      <c r="B340" t="s">
        <v>105</v>
      </c>
      <c r="C340" t="s">
        <v>129</v>
      </c>
      <c r="D340" t="str">
        <f>HYPERLINK("https://www.tva.com/newsroom/press-releases/applications-open-for-k-12-stem-education-grants-2023","https://www.tva.com/newsroom/press-releases/applications-open-for-k-12-stem-education-grants-2023")</f>
        <v>https://www.tva.com/newsroom/press-releases/applications-open-for-k-12-stem-education-grants-2023</v>
      </c>
    </row>
    <row r="341" spans="1:4" x14ac:dyDescent="0.25">
      <c r="A341" t="s">
        <v>104</v>
      </c>
      <c r="B341" t="s">
        <v>105</v>
      </c>
      <c r="C341" t="s">
        <v>44</v>
      </c>
      <c r="D341" t="str">
        <f>HYPERLINK("https://www.aps.com/en/About/Community/In-the-Community/Education/APS-Phoenix-Suns-STEM-Teacher-Grants","https://www.aps.com/en/About/Community/In-the-Community/Education/APS-Phoenix-Suns-STEM-Teacher-Grants")</f>
        <v>https://www.aps.com/en/About/Community/In-the-Community/Education/APS-Phoenix-Suns-STEM-Teacher-Grants</v>
      </c>
    </row>
    <row r="342" spans="1:4" x14ac:dyDescent="0.25">
      <c r="A342" t="s">
        <v>104</v>
      </c>
      <c r="B342" t="s">
        <v>105</v>
      </c>
      <c r="C342" t="s">
        <v>166</v>
      </c>
      <c r="D342" t="str">
        <f>HYPERLINK("https://assets.publishing.service.gov.uk/media/5a80237ae5274a2e87db812c/A_guide_to_STEM_CPD_opportunities_for_teachers.pdf","https://assets.publishing.service.gov.uk/media/5a80237ae5274a2e87db812c/A_guide_to_STEM_CPD_opportunities_for_teachers.pdf")</f>
        <v>https://assets.publishing.service.gov.uk/media/5a80237ae5274a2e87db812c/A_guide_to_STEM_CPD_opportunities_for_teachers.pdf</v>
      </c>
    </row>
    <row r="343" spans="1:4" x14ac:dyDescent="0.25">
      <c r="A343" t="s">
        <v>104</v>
      </c>
      <c r="B343" t="s">
        <v>105</v>
      </c>
      <c r="C343" t="s">
        <v>173</v>
      </c>
      <c r="D343" t="str">
        <f>HYPERLINK("https://www.battelle.org/insights/newsroom/press-release-details/battelle-announces-grant-opportunity-to-boost-stem-education-across-ohio-s-classrooms","https://www.battelle.org/insights/newsroom/press-release-details/battelle-announces-grant-opportunity-to-boost-stem-education-across-ohio-s-classrooms")</f>
        <v>https://www.battelle.org/insights/newsroom/press-release-details/battelle-announces-grant-opportunity-to-boost-stem-education-across-ohio-s-classrooms</v>
      </c>
    </row>
    <row r="344" spans="1:4" x14ac:dyDescent="0.25">
      <c r="A344" t="s">
        <v>104</v>
      </c>
      <c r="B344" t="s">
        <v>105</v>
      </c>
      <c r="C344" t="s">
        <v>188</v>
      </c>
      <c r="D344" t="str">
        <f>HYPERLINK("https://www.battelle.org/insights/newsroom/press-release-details/battelle-expands-classroom-grants-to-ohio-educators-for-third-year","https://www.battelle.org/insights/newsroom/press-release-details/battelle-expands-classroom-grants-to-ohio-educators-for-third-year")</f>
        <v>https://www.battelle.org/insights/newsroom/press-release-details/battelle-expands-classroom-grants-to-ohio-educators-for-third-year</v>
      </c>
    </row>
    <row r="345" spans="1:4" x14ac:dyDescent="0.25">
      <c r="A345" t="s">
        <v>104</v>
      </c>
      <c r="B345" t="s">
        <v>105</v>
      </c>
      <c r="C345" t="s">
        <v>177</v>
      </c>
      <c r="D345" t="str">
        <f>HYPERLINK("https://www.battelle.org/insights/newsroom/press-release-details/battelle-funding-new-classroom-grants-for-schools","https://www.battelle.org/insights/newsroom/press-release-details/battelle-funding-new-classroom-grants-for-schools")</f>
        <v>https://www.battelle.org/insights/newsroom/press-release-details/battelle-funding-new-classroom-grants-for-schools</v>
      </c>
    </row>
    <row r="346" spans="1:4" x14ac:dyDescent="0.25">
      <c r="A346" t="s">
        <v>104</v>
      </c>
      <c r="B346" t="s">
        <v>105</v>
      </c>
      <c r="C346" t="s">
        <v>171</v>
      </c>
      <c r="D346" t="str">
        <f>HYPERLINK("https://www.battelle.org/insights/newsroom/press-release-details/battelle-funds-more-than-100-ohio-stem-classroom-grants","https://www.battelle.org/insights/newsroom/press-release-details/battelle-funds-more-than-100-ohio-stem-classroom-grants")</f>
        <v>https://www.battelle.org/insights/newsroom/press-release-details/battelle-funds-more-than-100-ohio-stem-classroom-grants</v>
      </c>
    </row>
    <row r="347" spans="1:4" x14ac:dyDescent="0.25">
      <c r="A347" t="s">
        <v>104</v>
      </c>
      <c r="B347" t="s">
        <v>105</v>
      </c>
      <c r="C347" t="s">
        <v>182</v>
      </c>
      <c r="D347" t="str">
        <f>HYPERLINK("https://www.battelle.org/insights/newsroom/press-release-details/battelle-to-send-more-than-1-million-to-ohio-classrooms-for-stem-learning","https://www.battelle.org/insights/newsroom/press-release-details/battelle-to-send-more-than-1-million-to-ohio-classrooms-for-stem-learning")</f>
        <v>https://www.battelle.org/insights/newsroom/press-release-details/battelle-to-send-more-than-1-million-to-ohio-classrooms-for-stem-learning</v>
      </c>
    </row>
    <row r="348" spans="1:4" x14ac:dyDescent="0.25">
      <c r="A348" t="s">
        <v>104</v>
      </c>
      <c r="B348" t="s">
        <v>105</v>
      </c>
      <c r="C348" t="s">
        <v>207</v>
      </c>
      <c r="D348" t="str">
        <f>HYPERLINK("https://sftp.asee.org/board-19-lessons-learned-from-an-s-stem-grant.pdf","https://sftp.asee.org/board-19-lessons-learned-from-an-s-stem-grant.pdf")</f>
        <v>https://sftp.asee.org/board-19-lessons-learned-from-an-s-stem-grant.pdf</v>
      </c>
    </row>
    <row r="349" spans="1:4" x14ac:dyDescent="0.25">
      <c r="A349" t="s">
        <v>104</v>
      </c>
      <c r="B349" t="s">
        <v>105</v>
      </c>
      <c r="C349" t="s">
        <v>180</v>
      </c>
      <c r="D349" t="str">
        <f>HYPERLINK("https://new.nsf.gov/funding/initiatives/broadening-participation","https://new.nsf.gov/funding/initiatives/broadening-participation")</f>
        <v>https://new.nsf.gov/funding/initiatives/broadening-participation</v>
      </c>
    </row>
    <row r="350" spans="1:4" x14ac:dyDescent="0.25">
      <c r="A350" t="s">
        <v>104</v>
      </c>
      <c r="B350" t="s">
        <v>105</v>
      </c>
      <c r="C350" t="s">
        <v>196</v>
      </c>
      <c r="D350" t="str">
        <f>HYPERLINK("https://www.learntechlib.org/p/151708/","https://www.learntechlib.org/p/151708/")</f>
        <v>https://www.learntechlib.org/p/151708/</v>
      </c>
    </row>
    <row r="351" spans="1:4" x14ac:dyDescent="0.25">
      <c r="A351" t="s">
        <v>104</v>
      </c>
      <c r="B351" t="s">
        <v>105</v>
      </c>
      <c r="C351" t="s">
        <v>181</v>
      </c>
      <c r="D351" t="str">
        <f>HYPERLINK("https://www.in.gov/che/academic-affairs/teacher-recruitment-programs/","https://www.in.gov/che/academic-affairs/teacher-recruitment-programs/")</f>
        <v>https://www.in.gov/che/academic-affairs/teacher-recruitment-programs/</v>
      </c>
    </row>
    <row r="352" spans="1:4" x14ac:dyDescent="0.25">
      <c r="A352" t="s">
        <v>104</v>
      </c>
      <c r="B352" t="s">
        <v>105</v>
      </c>
      <c r="C352" t="s">
        <v>43</v>
      </c>
      <c r="D352" t="str">
        <f>HYPERLINK("https://osln.org/how-we-help/classroom-opportunities/classroom-grant-program/","https://osln.org/how-we-help/classroom-opportunities/classroom-grant-program/")</f>
        <v>https://osln.org/how-we-help/classroom-opportunities/classroom-grant-program/</v>
      </c>
    </row>
    <row r="353" spans="1:4" x14ac:dyDescent="0.25">
      <c r="A353" t="s">
        <v>104</v>
      </c>
      <c r="B353" t="s">
        <v>105</v>
      </c>
      <c r="C353" t="s">
        <v>108</v>
      </c>
      <c r="D353" t="str">
        <f>HYPERLINK("https://www.aiaa.org/get-involved/educators/Classroom-Grants","https://www.aiaa.org/get-involved/educators/Classroom-Grants")</f>
        <v>https://www.aiaa.org/get-involved/educators/Classroom-Grants</v>
      </c>
    </row>
    <row r="354" spans="1:4" x14ac:dyDescent="0.25">
      <c r="A354" t="s">
        <v>104</v>
      </c>
      <c r="B354" t="s">
        <v>105</v>
      </c>
      <c r="C354" t="s">
        <v>114</v>
      </c>
      <c r="D354" t="str">
        <f>HYPERLINK("https://www.tsin.org/classroom-opportunities","https://www.tsin.org/classroom-opportunities")</f>
        <v>https://www.tsin.org/classroom-opportunities</v>
      </c>
    </row>
    <row r="355" spans="1:4" x14ac:dyDescent="0.25">
      <c r="A355" t="s">
        <v>104</v>
      </c>
      <c r="B355" t="s">
        <v>105</v>
      </c>
      <c r="C355" t="s">
        <v>160</v>
      </c>
      <c r="D355" t="str">
        <f>HYPERLINK("https://www.fpl.com/community/education-funding.html","https://www.fpl.com/community/education-funding.html")</f>
        <v>https://www.fpl.com/community/education-funding.html</v>
      </c>
    </row>
    <row r="356" spans="1:4" x14ac:dyDescent="0.25">
      <c r="A356" t="s">
        <v>104</v>
      </c>
      <c r="B356" t="s">
        <v>105</v>
      </c>
      <c r="C356" t="s">
        <v>167</v>
      </c>
      <c r="D356" t="str">
        <f>HYPERLINK("https://www.nnva.gov/2911/COVA-STEM-Hub-Announces-450000-in-Grant-","https://www.nnva.gov/2911/COVA-STEM-Hub-Announces-450000-in-Grant-")</f>
        <v>https://www.nnva.gov/2911/COVA-STEM-Hub-Announces-450000-in-Grant-</v>
      </c>
    </row>
    <row r="357" spans="1:4" x14ac:dyDescent="0.25">
      <c r="A357" t="s">
        <v>104</v>
      </c>
      <c r="B357" t="s">
        <v>105</v>
      </c>
      <c r="C357" t="s">
        <v>199</v>
      </c>
      <c r="D357" t="str">
        <f>HYPERLINK("https://journals.plos.org/plosone/article?id=10.1371/journal.pone.0119548","https://journals.plos.org/plosone/article?id=10.1371/journal.pone.0119548")</f>
        <v>https://journals.plos.org/plosone/article?id=10.1371/journal.pone.0119548</v>
      </c>
    </row>
    <row r="358" spans="1:4" x14ac:dyDescent="0.25">
      <c r="A358" t="s">
        <v>104</v>
      </c>
      <c r="B358" t="s">
        <v>105</v>
      </c>
      <c r="C358" t="s">
        <v>11</v>
      </c>
      <c r="D358" t="str">
        <f>HYPERLINK("https://new.nsf.gov/edu","https://new.nsf.gov/edu")</f>
        <v>https://new.nsf.gov/edu</v>
      </c>
    </row>
    <row r="359" spans="1:4" x14ac:dyDescent="0.25">
      <c r="A359" t="s">
        <v>104</v>
      </c>
      <c r="B359" t="s">
        <v>105</v>
      </c>
      <c r="C359" t="s">
        <v>118</v>
      </c>
      <c r="D359" t="str">
        <f>HYPERLINK("https://new.nsf.gov/funding/opportunities/drk-12-discovery-research-prek-12","https://new.nsf.gov/funding/opportunities/drk-12-discovery-research-prek-12")</f>
        <v>https://new.nsf.gov/funding/opportunities/drk-12-discovery-research-prek-12</v>
      </c>
    </row>
    <row r="360" spans="1:4" x14ac:dyDescent="0.25">
      <c r="A360" t="s">
        <v>104</v>
      </c>
      <c r="B360" t="s">
        <v>105</v>
      </c>
      <c r="C360" t="s">
        <v>186</v>
      </c>
      <c r="D360" t="str">
        <f>HYPERLINK("https://www.nsf.gov/div/index.jsp?div=DUE","https://www.nsf.gov/div/index.jsp?div=DUE")</f>
        <v>https://www.nsf.gov/div/index.jsp?div=DUE</v>
      </c>
    </row>
    <row r="361" spans="1:4" x14ac:dyDescent="0.25">
      <c r="A361" t="s">
        <v>104</v>
      </c>
      <c r="B361" t="s">
        <v>105</v>
      </c>
      <c r="C361" t="s">
        <v>53</v>
      </c>
      <c r="D361" t="str">
        <f>HYPERLINK("https://www.in.gov/doe/students/stem-education/","https://www.in.gov/doe/students/stem-education/")</f>
        <v>https://www.in.gov/doe/students/stem-education/</v>
      </c>
    </row>
    <row r="362" spans="1:4" x14ac:dyDescent="0.25">
      <c r="A362" t="s">
        <v>104</v>
      </c>
      <c r="B362" t="s">
        <v>105</v>
      </c>
      <c r="C362" t="s">
        <v>185</v>
      </c>
      <c r="D362" t="str">
        <f>HYPERLINK("https://new.nsf.gov/focus-areas/education","https://new.nsf.gov/focus-areas/education")</f>
        <v>https://new.nsf.gov/focus-areas/education</v>
      </c>
    </row>
    <row r="363" spans="1:4" x14ac:dyDescent="0.25">
      <c r="A363" t="s">
        <v>104</v>
      </c>
      <c r="B363" t="s">
        <v>105</v>
      </c>
      <c r="C363" t="s">
        <v>148</v>
      </c>
      <c r="D363" t="str">
        <f>HYPERLINK("https://www.afa.org/grants-for-education/","https://www.afa.org/grants-for-education/")</f>
        <v>https://www.afa.org/grants-for-education/</v>
      </c>
    </row>
    <row r="364" spans="1:4" x14ac:dyDescent="0.25">
      <c r="A364" t="s">
        <v>104</v>
      </c>
      <c r="B364" t="s">
        <v>105</v>
      </c>
      <c r="C364" t="s">
        <v>135</v>
      </c>
      <c r="D364" t="str">
        <f>HYPERLINK("https://www.orau.org/k12/educator/programs/education-grants.html","https://www.orau.org/k12/educator/programs/education-grants.html")</f>
        <v>https://www.orau.org/k12/educator/programs/education-grants.html</v>
      </c>
    </row>
    <row r="365" spans="1:4" x14ac:dyDescent="0.25">
      <c r="A365" t="s">
        <v>104</v>
      </c>
      <c r="B365" t="s">
        <v>105</v>
      </c>
      <c r="C365" t="s">
        <v>145</v>
      </c>
      <c r="D365" t="str">
        <f>HYPERLINK("https://naaee.org/programs/eeblue/watershed-stem-education-partnership-grant/rfp-2024","https://naaee.org/programs/eeblue/watershed-stem-education-partnership-grant/rfp-2024")</f>
        <v>https://naaee.org/programs/eeblue/watershed-stem-education-partnership-grant/rfp-2024</v>
      </c>
    </row>
    <row r="366" spans="1:4" x14ac:dyDescent="0.25">
      <c r="A366" t="s">
        <v>104</v>
      </c>
      <c r="B366" t="s">
        <v>105</v>
      </c>
      <c r="C366" t="s">
        <v>195</v>
      </c>
      <c r="D366" t="str">
        <f>HYPERLINK("https://peer.asee.org/enhancing-the-success-of-minority-stem-students-by-providing-financial-academic-social-and-cultural-capital","https://peer.asee.org/enhancing-the-success-of-minority-stem-students-by-providing-financial-academic-social-and-cultural-capital")</f>
        <v>https://peer.asee.org/enhancing-the-success-of-minority-stem-students-by-providing-financial-academic-social-and-cultural-capital</v>
      </c>
    </row>
    <row r="367" spans="1:4" x14ac:dyDescent="0.25">
      <c r="A367" t="s">
        <v>104</v>
      </c>
      <c r="B367" t="s">
        <v>105</v>
      </c>
      <c r="C367" t="s">
        <v>152</v>
      </c>
      <c r="D367" t="str">
        <f>HYPERLINK("https://seiri.indianapolis.iu.edu/fundingopportunities/externalgrants","https://seiri.indianapolis.iu.edu/fundingopportunities/externalgrants")</f>
        <v>https://seiri.indianapolis.iu.edu/fundingopportunities/externalgrants</v>
      </c>
    </row>
    <row r="368" spans="1:4" x14ac:dyDescent="0.25">
      <c r="A368" t="s">
        <v>104</v>
      </c>
      <c r="B368" t="s">
        <v>105</v>
      </c>
      <c r="C368" t="s">
        <v>154</v>
      </c>
      <c r="D368" t="str">
        <f>HYPERLINK("https://www.f5.com/company/blog/f5-awards-stem-education-grants-to-nonprofits-serving-women-and-girls-of-color","https://www.f5.com/company/blog/f5-awards-stem-education-grants-to-nonprofits-serving-women-and-girls-of-color")</f>
        <v>https://www.f5.com/company/blog/f5-awards-stem-education-grants-to-nonprofits-serving-women-and-girls-of-color</v>
      </c>
    </row>
    <row r="369" spans="1:4" x14ac:dyDescent="0.25">
      <c r="A369" t="s">
        <v>104</v>
      </c>
      <c r="B369" t="s">
        <v>105</v>
      </c>
      <c r="C369" t="s">
        <v>112</v>
      </c>
      <c r="D369" t="str">
        <f>HYPERLINK("https://osln.org/how-we-help/classroom-opportunities/classroom-grant-program/fall-2024-classroom-grant-awards/","https://osln.org/how-we-help/classroom-opportunities/classroom-grant-program/fall-2024-classroom-grant-awards/")</f>
        <v>https://osln.org/how-we-help/classroom-opportunities/classroom-grant-program/fall-2024-classroom-grant-awards/</v>
      </c>
    </row>
    <row r="370" spans="1:4" x14ac:dyDescent="0.25">
      <c r="A370" t="s">
        <v>104</v>
      </c>
      <c r="B370" t="s">
        <v>105</v>
      </c>
      <c r="C370" t="s">
        <v>219</v>
      </c>
      <c r="D370" t="str">
        <f>HYPERLINK("https://ieeexplore.ieee.org/abstract/document/7910255/","https://ieeexplore.ieee.org/abstract/document/7910255/")</f>
        <v>https://ieeexplore.ieee.org/abstract/document/7910255/</v>
      </c>
    </row>
    <row r="371" spans="1:4" x14ac:dyDescent="0.25">
      <c r="A371" t="s">
        <v>104</v>
      </c>
      <c r="B371" t="s">
        <v>105</v>
      </c>
      <c r="C371" t="s">
        <v>32</v>
      </c>
      <c r="D371" t="str">
        <f>HYPERLINK("https://www.cde.state.co.us/stem/fundingopportunities","https://www.cde.state.co.us/stem/fundingopportunities")</f>
        <v>https://www.cde.state.co.us/stem/fundingopportunities</v>
      </c>
    </row>
    <row r="372" spans="1:4" x14ac:dyDescent="0.25">
      <c r="A372" t="s">
        <v>104</v>
      </c>
      <c r="B372" t="s">
        <v>105</v>
      </c>
      <c r="C372" t="s">
        <v>122</v>
      </c>
      <c r="D372" t="str">
        <f>HYPERLINK("https://washingtonstem.org/stemcapitalgrant/","https://washingtonstem.org/stemcapitalgrant/")</f>
        <v>https://washingtonstem.org/stemcapitalgrant/</v>
      </c>
    </row>
    <row r="373" spans="1:4" x14ac:dyDescent="0.25">
      <c r="A373" t="s">
        <v>104</v>
      </c>
      <c r="B373" t="s">
        <v>105</v>
      </c>
      <c r="C373" t="s">
        <v>155</v>
      </c>
      <c r="D373" t="str">
        <f>HYPERLINK("https://dam.assets.ohio.gov/image/upload/epa.ohio.gov/Portals/42/documents/Funding%20Sources%20EE.pdf","https://dam.assets.ohio.gov/image/upload/epa.ohio.gov/Portals/42/documents/Funding%20Sources%20EE.pdf")</f>
        <v>https://dam.assets.ohio.gov/image/upload/epa.ohio.gov/Portals/42/documents/Funding%20Sources%20EE.pdf</v>
      </c>
    </row>
    <row r="374" spans="1:4" x14ac:dyDescent="0.25">
      <c r="A374" t="s">
        <v>104</v>
      </c>
      <c r="B374" t="s">
        <v>105</v>
      </c>
      <c r="C374" t="s">
        <v>200</v>
      </c>
      <c r="D374" t="str">
        <f>HYPERLINK("https://faseb.onlinelibrary.wiley.com/doi/abs/10.1096/fasebj.31.1_supplement.810.5","https://faseb.onlinelibrary.wiley.com/doi/abs/10.1096/fasebj.31.1_supplement.810.5")</f>
        <v>https://faseb.onlinelibrary.wiley.com/doi/abs/10.1096/fasebj.31.1_supplement.810.5</v>
      </c>
    </row>
    <row r="375" spans="1:4" x14ac:dyDescent="0.25">
      <c r="A375" t="s">
        <v>104</v>
      </c>
      <c r="B375" t="s">
        <v>105</v>
      </c>
      <c r="C375" t="s">
        <v>120</v>
      </c>
      <c r="D375" t="str">
        <f>HYPERLINK("https://stem-supplies.com/grants","https://stem-supplies.com/grants")</f>
        <v>https://stem-supplies.com/grants</v>
      </c>
    </row>
    <row r="376" spans="1:4" x14ac:dyDescent="0.25">
      <c r="A376" t="s">
        <v>104</v>
      </c>
      <c r="B376" t="s">
        <v>105</v>
      </c>
      <c r="C376" t="s">
        <v>156</v>
      </c>
      <c r="D376" t="str">
        <f>HYPERLINK("https://www.mlb.com/dbacks/community/foundation/grant-programs/stem-grants-program","https://www.mlb.com/dbacks/community/foundation/grant-programs/stem-grants-program")</f>
        <v>https://www.mlb.com/dbacks/community/foundation/grant-programs/stem-grants-program</v>
      </c>
    </row>
    <row r="377" spans="1:4" x14ac:dyDescent="0.25">
      <c r="A377" t="s">
        <v>104</v>
      </c>
      <c r="B377" t="s">
        <v>105</v>
      </c>
      <c r="C377" t="s">
        <v>212</v>
      </c>
      <c r="D377" t="str">
        <f>HYPERLINK("https://citeseerx.ist.psu.edu/document?repid=rep1&amp;type=pdf&amp;doi=28581f0d43f2e51d3e019c0299d39c0b0ef0b280","https://citeseerx.ist.psu.edu/document?repid=rep1&amp;type=pdf&amp;doi=28581f0d43f2e51d3e019c0299d39c0b0ef0b280")</f>
        <v>https://citeseerx.ist.psu.edu/document?repid=rep1&amp;type=pdf&amp;doi=28581f0d43f2e51d3e019c0299d39c0b0ef0b280</v>
      </c>
    </row>
    <row r="378" spans="1:4" x14ac:dyDescent="0.25">
      <c r="A378" t="s">
        <v>104</v>
      </c>
      <c r="B378" t="s">
        <v>105</v>
      </c>
      <c r="C378" t="s">
        <v>41</v>
      </c>
      <c r="D378" t="str">
        <f>HYPERLINK("https://osit.nv.gov/Grants/FundingOpportunities/","https://osit.nv.gov/Grants/FundingOpportunities/")</f>
        <v>https://osit.nv.gov/Grants/FundingOpportunities/</v>
      </c>
    </row>
    <row r="379" spans="1:4" x14ac:dyDescent="0.25">
      <c r="A379" t="s">
        <v>104</v>
      </c>
      <c r="B379" t="s">
        <v>105</v>
      </c>
      <c r="C379" t="s">
        <v>35</v>
      </c>
      <c r="D379" t="str">
        <f>HYPERLINK("https://osit.nv.gov/Grants/Grants/","https://osit.nv.gov/Grants/Grants/")</f>
        <v>https://osit.nv.gov/Grants/Grants/</v>
      </c>
    </row>
    <row r="380" spans="1:4" x14ac:dyDescent="0.25">
      <c r="A380" t="s">
        <v>104</v>
      </c>
      <c r="B380" t="s">
        <v>105</v>
      </c>
      <c r="C380" t="s">
        <v>109</v>
      </c>
      <c r="D380" t="str">
        <f>HYPERLINK("https://stemeducationworks.com/grants/","https://stemeducationworks.com/grants/")</f>
        <v>https://stemeducationworks.com/grants/</v>
      </c>
    </row>
    <row r="381" spans="1:4" x14ac:dyDescent="0.25">
      <c r="A381" t="s">
        <v>104</v>
      </c>
      <c r="B381" t="s">
        <v>105</v>
      </c>
      <c r="C381" t="s">
        <v>30</v>
      </c>
      <c r="D381" t="str">
        <f>HYPERLINK("https://stem.utah.gov/educators/funding/","https://stem.utah.gov/educators/funding/")</f>
        <v>https://stem.utah.gov/educators/funding/</v>
      </c>
    </row>
    <row r="382" spans="1:4" x14ac:dyDescent="0.25">
      <c r="A382" t="s">
        <v>104</v>
      </c>
      <c r="B382" t="s">
        <v>105</v>
      </c>
      <c r="C382" t="s">
        <v>183</v>
      </c>
      <c r="D382" t="str">
        <f>HYPERLINK("https://dpi.wi.gov/stem/grants","https://dpi.wi.gov/stem/grants")</f>
        <v>https://dpi.wi.gov/stem/grants</v>
      </c>
    </row>
    <row r="383" spans="1:4" x14ac:dyDescent="0.25">
      <c r="A383" t="s">
        <v>104</v>
      </c>
      <c r="B383" t="s">
        <v>105</v>
      </c>
      <c r="C383" t="s">
        <v>115</v>
      </c>
      <c r="D383" t="str">
        <f>HYPERLINK("https://gnostem.org/grants-and-awards/","https://gnostem.org/grants-and-awards/")</f>
        <v>https://gnostem.org/grants-and-awards/</v>
      </c>
    </row>
    <row r="384" spans="1:4" x14ac:dyDescent="0.25">
      <c r="A384" t="s">
        <v>104</v>
      </c>
      <c r="B384" t="s">
        <v>105</v>
      </c>
      <c r="C384" t="s">
        <v>106</v>
      </c>
      <c r="D384" t="str">
        <f>HYPERLINK("https://www.ed.gov/grants-and-programs","https://www.ed.gov/grants-and-programs")</f>
        <v>https://www.ed.gov/grants-and-programs</v>
      </c>
    </row>
    <row r="385" spans="1:4" x14ac:dyDescent="0.25">
      <c r="A385" t="s">
        <v>104</v>
      </c>
      <c r="B385" t="s">
        <v>105</v>
      </c>
      <c r="C385" t="s">
        <v>157</v>
      </c>
      <c r="D385" t="str">
        <f>HYPERLINK("https://www.toshiba.com/taf/612.jsp","https://www.toshiba.com/taf/612.jsp")</f>
        <v>https://www.toshiba.com/taf/612.jsp</v>
      </c>
    </row>
    <row r="386" spans="1:4" x14ac:dyDescent="0.25">
      <c r="A386" t="s">
        <v>104</v>
      </c>
      <c r="B386" t="s">
        <v>105</v>
      </c>
      <c r="C386" t="s">
        <v>40</v>
      </c>
      <c r="D386" t="str">
        <f>HYPERLINK("https://zipgrow.com/grants-for-stem-education/","https://zipgrow.com/grants-for-stem-education/")</f>
        <v>https://zipgrow.com/grants-for-stem-education/</v>
      </c>
    </row>
    <row r="387" spans="1:4" x14ac:dyDescent="0.25">
      <c r="A387" t="s">
        <v>104</v>
      </c>
      <c r="B387" t="s">
        <v>105</v>
      </c>
      <c r="C387" t="s">
        <v>133</v>
      </c>
      <c r="D387" t="str">
        <f>HYPERLINK("https://www.battelle.org/insights/newsroom/press-release-details/grants-for-stem-education-coming-to-ohio-schools","https://www.battelle.org/insights/newsroom/press-release-details/grants-for-stem-education-coming-to-ohio-schools")</f>
        <v>https://www.battelle.org/insights/newsroom/press-release-details/grants-for-stem-education-coming-to-ohio-schools</v>
      </c>
    </row>
    <row r="388" spans="1:4" x14ac:dyDescent="0.25">
      <c r="A388" t="s">
        <v>104</v>
      </c>
      <c r="B388" t="s">
        <v>105</v>
      </c>
      <c r="C388" t="s">
        <v>117</v>
      </c>
      <c r="D388" t="str">
        <f>HYPERLINK("https://www.adoptaclassroom.org/2022/02/16/grants-for-teachers-to-use-on-classroom-supplies/","https://www.adoptaclassroom.org/2022/02/16/grants-for-teachers-to-use-on-classroom-supplies/")</f>
        <v>https://www.adoptaclassroom.org/2022/02/16/grants-for-teachers-to-use-on-classroom-supplies/</v>
      </c>
    </row>
    <row r="389" spans="1:4" x14ac:dyDescent="0.25">
      <c r="A389" t="s">
        <v>104</v>
      </c>
      <c r="B389" t="s">
        <v>105</v>
      </c>
      <c r="C389" t="s">
        <v>197</v>
      </c>
      <c r="D389" t="str">
        <f>HYPERLINK("https://academic.oup.com/bioscience/article-abstract/67/7/638/3858872","https://academic.oup.com/bioscience/article-abstract/67/7/638/3858872")</f>
        <v>https://academic.oup.com/bioscience/article-abstract/67/7/638/3858872</v>
      </c>
    </row>
    <row r="390" spans="1:4" x14ac:dyDescent="0.25">
      <c r="A390" t="s">
        <v>104</v>
      </c>
      <c r="B390" t="s">
        <v>105</v>
      </c>
      <c r="C390" t="s">
        <v>12</v>
      </c>
      <c r="D390" t="str">
        <f>HYPERLINK("https://blog.kidsparkeducation.org/blog/guide-to-education-grants-how-to-get-funding-for-your-stem-program","https://blog.kidsparkeducation.org/blog/guide-to-education-grants-how-to-get-funding-for-your-stem-program")</f>
        <v>https://blog.kidsparkeducation.org/blog/guide-to-education-grants-how-to-get-funding-for-your-stem-program</v>
      </c>
    </row>
    <row r="391" spans="1:4" x14ac:dyDescent="0.25">
      <c r="A391" t="s">
        <v>104</v>
      </c>
      <c r="B391" t="s">
        <v>105</v>
      </c>
      <c r="C391" t="s">
        <v>24</v>
      </c>
      <c r="D391" t="str">
        <f>HYPERLINK("https://scienceexplorers.com/guide-to-funding-school-stem-program/","https://scienceexplorers.com/guide-to-funding-school-stem-program/")</f>
        <v>https://scienceexplorers.com/guide-to-funding-school-stem-program/</v>
      </c>
    </row>
    <row r="392" spans="1:4" x14ac:dyDescent="0.25">
      <c r="A392" t="s">
        <v>104</v>
      </c>
      <c r="B392" t="s">
        <v>105</v>
      </c>
      <c r="C392" t="s">
        <v>38</v>
      </c>
      <c r="D392" t="str">
        <f>HYPERLINK("https://www.mass.gov/news/healey-driscoll-administration-announces-195000-in-grants-during-computer-science-workforce-stem-summit","https://www.mass.gov/news/healey-driscoll-administration-announces-195000-in-grants-during-computer-science-workforce-stem-summit")</f>
        <v>https://www.mass.gov/news/healey-driscoll-administration-announces-195000-in-grants-during-computer-science-workforce-stem-summit</v>
      </c>
    </row>
    <row r="393" spans="1:4" x14ac:dyDescent="0.25">
      <c r="A393" t="s">
        <v>104</v>
      </c>
      <c r="B393" t="s">
        <v>105</v>
      </c>
      <c r="C393" t="s">
        <v>141</v>
      </c>
      <c r="D393" t="str">
        <f>HYPERLINK("https://www.linkedin.com/pulse/how-get-your-stem-program-funded-step-by-step-guide-circuitmess-8w5kf","https://www.linkedin.com/pulse/how-get-your-stem-program-funded-step-by-step-guide-circuitmess-8w5kf")</f>
        <v>https://www.linkedin.com/pulse/how-get-your-stem-program-funded-step-by-step-guide-circuitmess-8w5kf</v>
      </c>
    </row>
    <row r="394" spans="1:4" x14ac:dyDescent="0.25">
      <c r="A394" t="s">
        <v>104</v>
      </c>
      <c r="B394" t="s">
        <v>105</v>
      </c>
      <c r="C394" t="s">
        <v>201</v>
      </c>
      <c r="D394" t="str">
        <f>HYPERLINK("https://eric.ed.gov/?id=EJ952391","https://eric.ed.gov/?id=EJ952391")</f>
        <v>https://eric.ed.gov/?id=EJ952391</v>
      </c>
    </row>
    <row r="395" spans="1:4" x14ac:dyDescent="0.25">
      <c r="A395" t="s">
        <v>104</v>
      </c>
      <c r="B395" t="s">
        <v>105</v>
      </c>
      <c r="C395" t="s">
        <v>23</v>
      </c>
      <c r="D395" t="str">
        <f>HYPERLINK("https://new.nsf.gov/funding/opportunities/iuse-edu-improving-undergraduate-stem-education-directorate-stem","https://new.nsf.gov/funding/opportunities/iuse-edu-improving-undergraduate-stem-education-directorate-stem")</f>
        <v>https://new.nsf.gov/funding/opportunities/iuse-edu-improving-undergraduate-stem-education-directorate-stem</v>
      </c>
    </row>
    <row r="396" spans="1:4" x14ac:dyDescent="0.25">
      <c r="A396" t="s">
        <v>104</v>
      </c>
      <c r="B396" t="s">
        <v>105</v>
      </c>
      <c r="C396" t="s">
        <v>217</v>
      </c>
      <c r="D396" t="str">
        <f>HYPERLINK("https://digitalcommons.library.umaine.edu/mpr/vol27/iss1/15/","https://digitalcommons.library.umaine.edu/mpr/vol27/iss1/15/")</f>
        <v>https://digitalcommons.library.umaine.edu/mpr/vol27/iss1/15/</v>
      </c>
    </row>
    <row r="397" spans="1:4" x14ac:dyDescent="0.25">
      <c r="A397" t="s">
        <v>104</v>
      </c>
      <c r="B397" t="s">
        <v>105</v>
      </c>
      <c r="C397" t="s">
        <v>189</v>
      </c>
      <c r="D397" t="str">
        <f>HYPERLINK("https://new.nsf.gov/funding/opportunities/ityc-iuse-innovation-two-year-college-stem-education","https://new.nsf.gov/funding/opportunities/ityc-iuse-innovation-two-year-college-stem-education")</f>
        <v>https://new.nsf.gov/funding/opportunities/ityc-iuse-innovation-two-year-college-stem-education</v>
      </c>
    </row>
    <row r="398" spans="1:4" x14ac:dyDescent="0.25">
      <c r="A398" t="s">
        <v>104</v>
      </c>
      <c r="B398" t="s">
        <v>105</v>
      </c>
      <c r="C398" t="s">
        <v>37</v>
      </c>
      <c r="D398" t="str">
        <f>HYPERLINK("https://inl.gov/inl-initiatives/partnering-with-inl/k-12-stem/k-12-education-grants/","https://inl.gov/inl-initiatives/partnering-with-inl/k-12-stem/k-12-education-grants/")</f>
        <v>https://inl.gov/inl-initiatives/partnering-with-inl/k-12-stem/k-12-education-grants/</v>
      </c>
    </row>
    <row r="399" spans="1:4" x14ac:dyDescent="0.25">
      <c r="A399" t="s">
        <v>104</v>
      </c>
      <c r="B399" t="s">
        <v>105</v>
      </c>
      <c r="C399" t="s">
        <v>131</v>
      </c>
      <c r="D399" t="str">
        <f>HYPERLINK("https://osit.nv.gov/layouts/Page_Style_1.aspx?id=238470","https://osit.nv.gov/layouts/Page_Style_1.aspx?id=238470")</f>
        <v>https://osit.nv.gov/layouts/Page_Style_1.aspx?id=238470</v>
      </c>
    </row>
    <row r="400" spans="1:4" x14ac:dyDescent="0.25">
      <c r="A400" t="s">
        <v>104</v>
      </c>
      <c r="B400" t="s">
        <v>105</v>
      </c>
      <c r="C400" t="s">
        <v>172</v>
      </c>
      <c r="D400" t="str">
        <f>HYPERLINK("https://osit.nv.gov/Grants/K-5_STEM_Classroom_Grant_Round_3/","https://osit.nv.gov/Grants/K-5_STEM_Classroom_Grant_Round_3/")</f>
        <v>https://osit.nv.gov/Grants/K-5_STEM_Classroom_Grant_Round_3/</v>
      </c>
    </row>
    <row r="401" spans="1:4" x14ac:dyDescent="0.25">
      <c r="A401" t="s">
        <v>104</v>
      </c>
      <c r="B401" t="s">
        <v>105</v>
      </c>
      <c r="C401" t="s">
        <v>179</v>
      </c>
      <c r="D401" t="str">
        <f>HYPERLINK("https://osit.nv.gov/Grants/K-5_STEM_Education_Program_Grant/","https://osit.nv.gov/Grants/K-5_STEM_Education_Program_Grant/")</f>
        <v>https://osit.nv.gov/Grants/K-5_STEM_Education_Program_Grant/</v>
      </c>
    </row>
    <row r="402" spans="1:4" x14ac:dyDescent="0.25">
      <c r="A402" t="s">
        <v>104</v>
      </c>
      <c r="B402" t="s">
        <v>105</v>
      </c>
      <c r="C402" t="s">
        <v>142</v>
      </c>
      <c r="D402" t="str">
        <f>HYPERLINK("https://go.kidsparkeducation.org/grants/stem-equity-grant-programs","https://go.kidsparkeducation.org/grants/stem-equity-grant-programs")</f>
        <v>https://go.kidsparkeducation.org/grants/stem-equity-grant-programs</v>
      </c>
    </row>
    <row r="403" spans="1:4" x14ac:dyDescent="0.25">
      <c r="A403" t="s">
        <v>104</v>
      </c>
      <c r="B403" t="s">
        <v>105</v>
      </c>
      <c r="C403" t="s">
        <v>143</v>
      </c>
      <c r="D403" t="str">
        <f>HYPERLINK("https://utulsa.edu/news/leblanc-receives-nsf-grant/","https://utulsa.edu/news/leblanc-receives-nsf-grant/")</f>
        <v>https://utulsa.edu/news/leblanc-receives-nsf-grant/</v>
      </c>
    </row>
    <row r="404" spans="1:4" x14ac:dyDescent="0.25">
      <c r="A404" t="s">
        <v>104</v>
      </c>
      <c r="B404" t="s">
        <v>105</v>
      </c>
      <c r="C404" t="s">
        <v>136</v>
      </c>
      <c r="D404" t="str">
        <f>HYPERLINK("https://www.michigan.gov/leo/boards-comms-councils/mistem/all-grants","https://www.michigan.gov/leo/boards-comms-councils/mistem/all-grants")</f>
        <v>https://www.michigan.gov/leo/boards-comms-councils/mistem/all-grants</v>
      </c>
    </row>
    <row r="405" spans="1:4" x14ac:dyDescent="0.25">
      <c r="A405" t="s">
        <v>104</v>
      </c>
      <c r="B405" t="s">
        <v>105</v>
      </c>
      <c r="C405" t="s">
        <v>211</v>
      </c>
      <c r="D405" t="str">
        <f>HYPERLINK("https://sftp.asee.org/leveraging-an-nsf-s-stem-grant-to-initiate-peeps-program-for-engineering-excellence-for-partner-schools-for-recruiting-and-retaining-students-from-underrepresented-groups-while-covertly-transforming-ourselves-and-our-university.pdf","https://sftp.asee.org/leveraging-an-nsf-s-stem-grant-to-initiate-peeps-program-for-engineering-excellence-for-partner-schools-for-recruiting-and-retaining-students-from-underrepresented-groups-while-covertly-transforming-ourselves-and-our-university.pdf")</f>
        <v>https://sftp.asee.org/leveraging-an-nsf-s-stem-grant-to-initiate-peeps-program-for-engineering-excellence-for-partner-schools-for-recruiting-and-retaining-students-from-underrepresented-groups-while-covertly-transforming-ourselves-and-our-university.pdf</v>
      </c>
    </row>
    <row r="406" spans="1:4" x14ac:dyDescent="0.25">
      <c r="A406" t="s">
        <v>104</v>
      </c>
      <c r="B406" t="s">
        <v>105</v>
      </c>
      <c r="C406" t="s">
        <v>202</v>
      </c>
      <c r="D406" t="str">
        <f>HYPERLINK("https://wac.colostate.edu/docs/atd/volume21/mathison-degrauw.pdf","https://wac.colostate.edu/docs/atd/volume21/mathison-degrauw.pdf")</f>
        <v>https://wac.colostate.edu/docs/atd/volume21/mathison-degrauw.pdf</v>
      </c>
    </row>
    <row r="407" spans="1:4" x14ac:dyDescent="0.25">
      <c r="A407" t="s">
        <v>104</v>
      </c>
      <c r="B407" t="s">
        <v>105</v>
      </c>
      <c r="C407" t="s">
        <v>55</v>
      </c>
      <c r="D407" t="str">
        <f>HYPERLINK("https://llpgpro.com/v7mwk9dp/","https://llpgpro.com/v7mwk9dp/")</f>
        <v>https://llpgpro.com/v7mwk9dp/</v>
      </c>
    </row>
    <row r="408" spans="1:4" x14ac:dyDescent="0.25">
      <c r="A408" t="s">
        <v>104</v>
      </c>
      <c r="B408" t="s">
        <v>105</v>
      </c>
      <c r="C408" t="s">
        <v>111</v>
      </c>
      <c r="D408" t="str">
        <f>HYPERLINK("https://new.nsf.gov/funding/opportunities/national-stem-teacher-corps-pilot-program","https://new.nsf.gov/funding/opportunities/national-stem-teacher-corps-pilot-program")</f>
        <v>https://new.nsf.gov/funding/opportunities/national-stem-teacher-corps-pilot-program</v>
      </c>
    </row>
    <row r="409" spans="1:4" x14ac:dyDescent="0.25">
      <c r="A409" t="s">
        <v>104</v>
      </c>
      <c r="B409" t="s">
        <v>105</v>
      </c>
      <c r="C409" t="s">
        <v>158</v>
      </c>
      <c r="D409" t="str">
        <f>HYPERLINK("https://www.noaa.gov/office-education/bwet/partnerships/21stCCLC","https://www.noaa.gov/office-education/bwet/partnerships/21stCCLC")</f>
        <v>https://www.noaa.gov/office-education/bwet/partnerships/21stCCLC</v>
      </c>
    </row>
    <row r="410" spans="1:4" x14ac:dyDescent="0.25">
      <c r="A410" t="s">
        <v>104</v>
      </c>
      <c r="B410" t="s">
        <v>105</v>
      </c>
      <c r="C410" t="s">
        <v>184</v>
      </c>
      <c r="D410" t="str">
        <f>HYPERLINK("https://naaee.org/programs/eeblue/watershed-stem-education-partnership-grant/evaluations-2022","https://naaee.org/programs/eeblue/watershed-stem-education-partnership-grant/evaluations-2022")</f>
        <v>https://naaee.org/programs/eeblue/watershed-stem-education-partnership-grant/evaluations-2022</v>
      </c>
    </row>
    <row r="411" spans="1:4" x14ac:dyDescent="0.25">
      <c r="A411" t="s">
        <v>104</v>
      </c>
      <c r="B411" t="s">
        <v>105</v>
      </c>
      <c r="C411" t="s">
        <v>134</v>
      </c>
      <c r="D411" t="str">
        <f>HYPERLINK("https://education.ohio.gov/Media/Ed-Connection/Aug-5-2024/Ohio-STEM-Learning-Network-Classroom-Grant-accepti","https://education.ohio.gov/Media/Ed-Connection/Aug-5-2024/Ohio-STEM-Learning-Network-Classroom-Grant-accepti")</f>
        <v>https://education.ohio.gov/Media/Ed-Connection/Aug-5-2024/Ohio-STEM-Learning-Network-Classroom-Grant-accepti</v>
      </c>
    </row>
    <row r="412" spans="1:4" x14ac:dyDescent="0.25">
      <c r="A412" t="s">
        <v>104</v>
      </c>
      <c r="B412" t="s">
        <v>105</v>
      </c>
      <c r="C412" t="s">
        <v>170</v>
      </c>
      <c r="D412" t="str">
        <f>HYPERLINK("https://education.ohio.gov/Media/Ed-Connection/Aug-7-2023/Ohio-STEM-Learning-Network-Classroom-Grant-program?feed=NewsletterRSS","https://education.ohio.gov/Media/Ed-Connection/Aug-7-2023/Ohio-STEM-Learning-Network-Classroom-Grant-program?feed=NewsletterRSS")</f>
        <v>https://education.ohio.gov/Media/Ed-Connection/Aug-7-2023/Ohio-STEM-Learning-Network-Classroom-Grant-program?feed=NewsletterRSS</v>
      </c>
    </row>
    <row r="413" spans="1:4" x14ac:dyDescent="0.25">
      <c r="A413" t="s">
        <v>104</v>
      </c>
      <c r="B413" t="s">
        <v>105</v>
      </c>
      <c r="C413" t="s">
        <v>190</v>
      </c>
      <c r="D413" t="str">
        <f>HYPERLINK("https://peer.asee.org/35010.pdf","https://peer.asee.org/35010.pdf")</f>
        <v>https://peer.asee.org/35010.pdf</v>
      </c>
    </row>
    <row r="414" spans="1:4" x14ac:dyDescent="0.25">
      <c r="A414" t="s">
        <v>104</v>
      </c>
      <c r="B414" t="s">
        <v>105</v>
      </c>
      <c r="C414" t="s">
        <v>210</v>
      </c>
      <c r="D414" t="str">
        <f>HYPERLINK("https://www.jstem.org/jstem/index.php/JSTEM/article/view/2182","https://www.jstem.org/jstem/index.php/JSTEM/article/view/2182")</f>
        <v>https://www.jstem.org/jstem/index.php/JSTEM/article/view/2182</v>
      </c>
    </row>
    <row r="415" spans="1:4" x14ac:dyDescent="0.25">
      <c r="A415" t="s">
        <v>104</v>
      </c>
      <c r="B415" t="s">
        <v>105</v>
      </c>
      <c r="C415" t="s">
        <v>178</v>
      </c>
      <c r="D415" t="str">
        <f>HYPERLINK("https://www.in.gov/che/files/2023STEMGRANT.PR.pdf","https://www.in.gov/che/files/2023STEMGRANT.PR.pdf")</f>
        <v>https://www.in.gov/che/files/2023STEMGRANT.PR.pdf</v>
      </c>
    </row>
    <row r="416" spans="1:4" x14ac:dyDescent="0.25">
      <c r="A416" t="s">
        <v>104</v>
      </c>
      <c r="B416" t="s">
        <v>105</v>
      </c>
      <c r="C416" t="s">
        <v>174</v>
      </c>
      <c r="D416" t="str">
        <f>HYPERLINK("https://pantex.energy.gov/news/press-releases/pantex-accepting-applications-stem-classroom-grants","https://pantex.energy.gov/news/press-releases/pantex-accepting-applications-stem-classroom-grants")</f>
        <v>https://pantex.energy.gov/news/press-releases/pantex-accepting-applications-stem-classroom-grants</v>
      </c>
    </row>
    <row r="417" spans="1:4" x14ac:dyDescent="0.25">
      <c r="A417" t="s">
        <v>104</v>
      </c>
      <c r="B417" t="s">
        <v>105</v>
      </c>
      <c r="C417" t="s">
        <v>187</v>
      </c>
      <c r="D417" t="str">
        <f>HYPERLINK("https://pantex.energy.gov/news/press-releases/pantex-accepting-stem-classroom-grant-applications","https://pantex.energy.gov/news/press-releases/pantex-accepting-stem-classroom-grant-applications")</f>
        <v>https://pantex.energy.gov/news/press-releases/pantex-accepting-stem-classroom-grant-applications</v>
      </c>
    </row>
    <row r="418" spans="1:4" x14ac:dyDescent="0.25">
      <c r="A418" t="s">
        <v>104</v>
      </c>
      <c r="B418" t="s">
        <v>105</v>
      </c>
      <c r="C418" t="s">
        <v>126</v>
      </c>
      <c r="D418" t="str">
        <f>HYPERLINK("https://stem.utah.gov/educators/funding/prek-12-classroom-grants/","https://stem.utah.gov/educators/funding/prek-12-classroom-grants/")</f>
        <v>https://stem.utah.gov/educators/funding/prek-12-classroom-grants/</v>
      </c>
    </row>
    <row r="419" spans="1:4" x14ac:dyDescent="0.25">
      <c r="A419" t="s">
        <v>104</v>
      </c>
      <c r="B419" t="s">
        <v>105</v>
      </c>
      <c r="C419" t="s">
        <v>73</v>
      </c>
      <c r="D419" t="str">
        <f>HYPERLINK("https://www.gwbaileyfoundation.org/program-funding","https://www.gwbaileyfoundation.org/program-funding")</f>
        <v>https://www.gwbaileyfoundation.org/program-funding</v>
      </c>
    </row>
    <row r="420" spans="1:4" x14ac:dyDescent="0.25">
      <c r="A420" t="s">
        <v>104</v>
      </c>
      <c r="B420" t="s">
        <v>105</v>
      </c>
      <c r="C420" t="s">
        <v>137</v>
      </c>
      <c r="D420" t="str">
        <f>HYPERLINK("https://www.nsf.gov/funding/programs.jsp?org=EDU","https://www.nsf.gov/funding/programs.jsp?org=EDU")</f>
        <v>https://www.nsf.gov/funding/programs.jsp?org=EDU</v>
      </c>
    </row>
    <row r="421" spans="1:4" x14ac:dyDescent="0.25">
      <c r="A421" t="s">
        <v>104</v>
      </c>
      <c r="B421" t="s">
        <v>105</v>
      </c>
      <c r="C421" t="s">
        <v>168</v>
      </c>
      <c r="D421" t="str">
        <f>HYPERLINK("https://new.nsf.gov/funding/opportunities/edu-racial-equity-racial-equity-stem-education","https://new.nsf.gov/funding/opportunities/edu-racial-equity-racial-equity-stem-education")</f>
        <v>https://new.nsf.gov/funding/opportunities/edu-racial-equity-racial-equity-stem-education</v>
      </c>
    </row>
    <row r="422" spans="1:4" x14ac:dyDescent="0.25">
      <c r="A422" t="s">
        <v>104</v>
      </c>
      <c r="B422" t="s">
        <v>105</v>
      </c>
      <c r="C422" t="s">
        <v>57</v>
      </c>
      <c r="D422" t="str">
        <f>HYPERLINK("https://robotical.io/about/educators/funding-and-grants/uk-funding-sources-grants/","https://robotical.io/about/educators/funding-and-grants/uk-funding-sources-grants/")</f>
        <v>https://robotical.io/about/educators/funding-and-grants/uk-funding-sources-grants/</v>
      </c>
    </row>
    <row r="423" spans="1:4" x14ac:dyDescent="0.25">
      <c r="A423" t="s">
        <v>104</v>
      </c>
      <c r="B423" t="s">
        <v>105</v>
      </c>
      <c r="C423" t="s">
        <v>146</v>
      </c>
      <c r="D423" t="str">
        <f>HYPERLINK("https://www.makewonder.com/en/grants/","https://www.makewonder.com/en/grants/")</f>
        <v>https://www.makewonder.com/en/grants/</v>
      </c>
    </row>
    <row r="424" spans="1:4" x14ac:dyDescent="0.25">
      <c r="A424" t="s">
        <v>104</v>
      </c>
      <c r="B424" t="s">
        <v>105</v>
      </c>
      <c r="C424" t="s">
        <v>76</v>
      </c>
      <c r="D424" t="str">
        <f>HYPERLINK("https://royalsociety.org/grants/partnership-grants/","https://royalsociety.org/grants/partnership-grants/")</f>
        <v>https://royalsociety.org/grants/partnership-grants/</v>
      </c>
    </row>
    <row r="425" spans="1:4" x14ac:dyDescent="0.25">
      <c r="A425" t="s">
        <v>104</v>
      </c>
      <c r="B425" t="s">
        <v>105</v>
      </c>
      <c r="C425" t="s">
        <v>110</v>
      </c>
      <c r="D425" t="str">
        <f>HYPERLINK("https://www.tsin.org/classroom-grants","https://www.tsin.org/classroom-grants")</f>
        <v>https://www.tsin.org/classroom-grants</v>
      </c>
    </row>
    <row r="426" spans="1:4" x14ac:dyDescent="0.25">
      <c r="A426" t="s">
        <v>104</v>
      </c>
      <c r="B426" t="s">
        <v>105</v>
      </c>
      <c r="C426" t="s">
        <v>161</v>
      </c>
      <c r="D426" t="str">
        <f>HYPERLINK("https://www.pa.gov/en/agencies/education/programs-and-services/schools/grants-and-funding/school-grants.html","https://www.pa.gov/en/agencies/education/programs-and-services/schools/grants-and-funding/school-grants.html")</f>
        <v>https://www.pa.gov/en/agencies/education/programs-and-services/schools/grants-and-funding/school-grants.html</v>
      </c>
    </row>
    <row r="427" spans="1:4" x14ac:dyDescent="0.25">
      <c r="A427" t="s">
        <v>104</v>
      </c>
      <c r="B427" t="s">
        <v>105</v>
      </c>
      <c r="C427" t="s">
        <v>138</v>
      </c>
      <c r="D427" t="str">
        <f>HYPERLINK("https://www.oru.com/en/community-affairs/teachers-students","https://www.oru.com/en/community-affairs/teachers-students")</f>
        <v>https://www.oru.com/en/community-affairs/teachers-students</v>
      </c>
    </row>
    <row r="428" spans="1:4" x14ac:dyDescent="0.25">
      <c r="A428" t="s">
        <v>104</v>
      </c>
      <c r="B428" t="s">
        <v>105</v>
      </c>
      <c r="C428" t="s">
        <v>121</v>
      </c>
      <c r="D428" t="str">
        <f>HYPERLINK("https://crscience.org/stemgrants/","https://crscience.org/stemgrants/")</f>
        <v>https://crscience.org/stemgrants/</v>
      </c>
    </row>
    <row r="429" spans="1:4" x14ac:dyDescent="0.25">
      <c r="A429" t="s">
        <v>104</v>
      </c>
      <c r="B429" t="s">
        <v>105</v>
      </c>
      <c r="C429" t="s">
        <v>70</v>
      </c>
      <c r="D429" t="str">
        <f>HYPERLINK("https://www.doe.virginia.gov/teaching-learning-assessment/instruction/science-technology-engineering-mathematics","https://www.doe.virginia.gov/teaching-learning-assessment/instruction/science-technology-engineering-mathematics")</f>
        <v>https://www.doe.virginia.gov/teaching-learning-assessment/instruction/science-technology-engineering-mathematics</v>
      </c>
    </row>
    <row r="430" spans="1:4" x14ac:dyDescent="0.25">
      <c r="A430" t="s">
        <v>104</v>
      </c>
      <c r="B430" t="s">
        <v>105</v>
      </c>
      <c r="C430" t="s">
        <v>208</v>
      </c>
      <c r="D430" t="str">
        <f>HYPERLINK("https://eric.ed.gov/?id=eD593605","https://eric.ed.gov/?id=eD593605")</f>
        <v>https://eric.ed.gov/?id=eD593605</v>
      </c>
    </row>
    <row r="431" spans="1:4" x14ac:dyDescent="0.25">
      <c r="A431" t="s">
        <v>104</v>
      </c>
      <c r="B431" t="s">
        <v>105</v>
      </c>
      <c r="C431" t="s">
        <v>193</v>
      </c>
      <c r="D431" t="str">
        <f>HYPERLINK("https://www.tandfonline.com/doi/abs/10.1080/00221546.2023.2209003","https://www.tandfonline.com/doi/abs/10.1080/00221546.2023.2209003")</f>
        <v>https://www.tandfonline.com/doi/abs/10.1080/00221546.2023.2209003</v>
      </c>
    </row>
    <row r="432" spans="1:4" x14ac:dyDescent="0.25">
      <c r="A432" t="s">
        <v>104</v>
      </c>
      <c r="B432" t="s">
        <v>105</v>
      </c>
      <c r="C432" t="s">
        <v>149</v>
      </c>
      <c r="D432" t="str">
        <f>HYPERLINK("https://www.media.pa.gov/pages/education-details.aspx?newsid=1500","https://www.media.pa.gov/pages/education-details.aspx?newsid=1500")</f>
        <v>https://www.media.pa.gov/pages/education-details.aspx?newsid=1500</v>
      </c>
    </row>
    <row r="433" spans="1:4" x14ac:dyDescent="0.25">
      <c r="A433" t="s">
        <v>104</v>
      </c>
      <c r="B433" t="s">
        <v>105</v>
      </c>
      <c r="C433" t="s">
        <v>159</v>
      </c>
      <c r="D433" t="str">
        <f>HYPERLINK("https://www.hilliardschools.org/six-of-our-elementary-schools-wins-ohio-stem-classroom-grant/","https://www.hilliardschools.org/six-of-our-elementary-schools-wins-ohio-stem-classroom-grant/")</f>
        <v>https://www.hilliardschools.org/six-of-our-elementary-schools-wins-ohio-stem-classroom-grant/</v>
      </c>
    </row>
    <row r="434" spans="1:4" x14ac:dyDescent="0.25">
      <c r="A434" t="s">
        <v>104</v>
      </c>
      <c r="B434" t="s">
        <v>105</v>
      </c>
      <c r="C434" t="s">
        <v>218</v>
      </c>
      <c r="D434" t="str">
        <f>HYPERLINK("https://academic.oup.com/bioscience/article-abstract/69/8/669/5530926","https://academic.oup.com/bioscience/article-abstract/69/8/669/5530926")</f>
        <v>https://academic.oup.com/bioscience/article-abstract/69/8/669/5530926</v>
      </c>
    </row>
    <row r="435" spans="1:4" x14ac:dyDescent="0.25">
      <c r="A435" t="s">
        <v>104</v>
      </c>
      <c r="B435" t="s">
        <v>105</v>
      </c>
      <c r="C435" t="s">
        <v>119</v>
      </c>
      <c r="D435" t="str">
        <f>HYPERLINK("https://www.societyforscience.org/blog/stem-research-grants-2024/","https://www.societyforscience.org/blog/stem-research-grants-2024/")</f>
        <v>https://www.societyforscience.org/blog/stem-research-grants-2024/</v>
      </c>
    </row>
    <row r="436" spans="1:4" x14ac:dyDescent="0.25">
      <c r="A436" t="s">
        <v>104</v>
      </c>
      <c r="B436" t="s">
        <v>105</v>
      </c>
      <c r="C436" t="s">
        <v>140</v>
      </c>
      <c r="D436" t="str">
        <f>HYPERLINK("https://www.devonenergy.com/sustainability/social/stem","https://www.devonenergy.com/sustainability/social/stem")</f>
        <v>https://www.devonenergy.com/sustainability/social/stem</v>
      </c>
    </row>
    <row r="437" spans="1:4" x14ac:dyDescent="0.25">
      <c r="A437" t="s">
        <v>104</v>
      </c>
      <c r="B437" t="s">
        <v>105</v>
      </c>
      <c r="C437" t="s">
        <v>29</v>
      </c>
      <c r="D437" t="str">
        <f>HYPERLINK("https://dpi.wi.gov/stem/grants/stem-science","https://dpi.wi.gov/stem/grants/stem-science")</f>
        <v>https://dpi.wi.gov/stem/grants/stem-science</v>
      </c>
    </row>
    <row r="438" spans="1:4" x14ac:dyDescent="0.25">
      <c r="A438" t="s">
        <v>104</v>
      </c>
      <c r="B438" t="s">
        <v>105</v>
      </c>
      <c r="C438" t="s">
        <v>130</v>
      </c>
      <c r="D438" t="str">
        <f>HYPERLINK("https://education.lego.com/en-us/grants-and-funding/","https://education.lego.com/en-us/grants-and-funding/")</f>
        <v>https://education.lego.com/en-us/grants-and-funding/</v>
      </c>
    </row>
    <row r="439" spans="1:4" x14ac:dyDescent="0.25">
      <c r="A439" t="s">
        <v>104</v>
      </c>
      <c r="B439" t="s">
        <v>105</v>
      </c>
      <c r="C439" t="s">
        <v>8</v>
      </c>
      <c r="D439" t="str">
        <f>HYPERLINK("https://www.societyforscience.org/outreach-and-equity/stem-action-grants/","https://www.societyforscience.org/outreach-and-equity/stem-action-grants/")</f>
        <v>https://www.societyforscience.org/outreach-and-equity/stem-action-grants/</v>
      </c>
    </row>
    <row r="440" spans="1:4" x14ac:dyDescent="0.25">
      <c r="A440" t="s">
        <v>104</v>
      </c>
      <c r="B440" t="s">
        <v>105</v>
      </c>
      <c r="C440" t="s">
        <v>151</v>
      </c>
      <c r="D440" t="str">
        <f>HYPERLINK("https://www.adoptaclassroom.org/tag/stem-classroom-grant/","https://www.adoptaclassroom.org/tag/stem-classroom-grant/")</f>
        <v>https://www.adoptaclassroom.org/tag/stem-classroom-grant/</v>
      </c>
    </row>
    <row r="441" spans="1:4" x14ac:dyDescent="0.25">
      <c r="A441" t="s">
        <v>104</v>
      </c>
      <c r="B441" t="s">
        <v>105</v>
      </c>
      <c r="C441" t="s">
        <v>147</v>
      </c>
      <c r="D441" t="str">
        <f>HYPERLINK("https://www.lockheedmartin.com/en-us/who-we-are/communities/stem-education.html","https://www.lockheedmartin.com/en-us/who-we-are/communities/stem-education.html")</f>
        <v>https://www.lockheedmartin.com/en-us/who-we-are/communities/stem-education.html</v>
      </c>
    </row>
    <row r="442" spans="1:4" x14ac:dyDescent="0.25">
      <c r="A442" t="s">
        <v>104</v>
      </c>
      <c r="B442" t="s">
        <v>105</v>
      </c>
      <c r="C442" t="s">
        <v>144</v>
      </c>
      <c r="D442" t="str">
        <f>HYPERLINK("https://www.instrumentl.com/browse-grants/texas/stem-education-grants","https://www.instrumentl.com/browse-grants/texas/stem-education-grants")</f>
        <v>https://www.instrumentl.com/browse-grants/texas/stem-education-grants</v>
      </c>
    </row>
    <row r="443" spans="1:4" x14ac:dyDescent="0.25">
      <c r="A443" t="s">
        <v>104</v>
      </c>
      <c r="B443" t="s">
        <v>105</v>
      </c>
      <c r="C443" t="s">
        <v>50</v>
      </c>
      <c r="D443" t="str">
        <f>HYPERLINK("https://stem-supplies.com/stem-resources/funding","https://stem-supplies.com/stem-resources/funding")</f>
        <v>https://stem-supplies.com/stem-resources/funding</v>
      </c>
    </row>
    <row r="444" spans="1:4" x14ac:dyDescent="0.25">
      <c r="A444" t="s">
        <v>104</v>
      </c>
      <c r="B444" t="s">
        <v>105</v>
      </c>
      <c r="C444" t="s">
        <v>33</v>
      </c>
      <c r="D444" t="str">
        <f>HYPERLINK("https://www.ncbiotech.org/funding/external-funding/stem-funding-opportunities","https://www.ncbiotech.org/funding/external-funding/stem-funding-opportunities")</f>
        <v>https://www.ncbiotech.org/funding/external-funding/stem-funding-opportunities</v>
      </c>
    </row>
    <row r="445" spans="1:4" x14ac:dyDescent="0.25">
      <c r="A445" t="s">
        <v>104</v>
      </c>
      <c r="B445" t="s">
        <v>105</v>
      </c>
      <c r="C445" t="s">
        <v>162</v>
      </c>
      <c r="D445" t="str">
        <f>HYPERLINK("https://www.acecwi.com/stem-grant/","https://www.acecwi.com/stem-grant/")</f>
        <v>https://www.acecwi.com/stem-grant/</v>
      </c>
    </row>
    <row r="446" spans="1:4" x14ac:dyDescent="0.25">
      <c r="A446" t="s">
        <v>104</v>
      </c>
      <c r="B446" t="s">
        <v>105</v>
      </c>
      <c r="C446" t="s">
        <v>28</v>
      </c>
      <c r="D446" t="str">
        <f>HYPERLINK("https://stemgrants.com/","https://stemgrants.com/")</f>
        <v>https://stemgrants.com/</v>
      </c>
    </row>
    <row r="447" spans="1:4" x14ac:dyDescent="0.25">
      <c r="A447" t="s">
        <v>104</v>
      </c>
      <c r="B447" t="s">
        <v>105</v>
      </c>
      <c r="C447" t="s">
        <v>16</v>
      </c>
      <c r="D447" t="str">
        <f>HYPERLINK("https://www.neafoundation.org/projects-initiatives/past-programs-resources/stem-grants/","https://www.neafoundation.org/projects-initiatives/past-programs-resources/stem-grants/")</f>
        <v>https://www.neafoundation.org/projects-initiatives/past-programs-resources/stem-grants/</v>
      </c>
    </row>
    <row r="448" spans="1:4" x14ac:dyDescent="0.25">
      <c r="A448" t="s">
        <v>104</v>
      </c>
      <c r="B448" t="s">
        <v>105</v>
      </c>
      <c r="C448" t="s">
        <v>18</v>
      </c>
      <c r="D448" t="str">
        <f>HYPERLINK("https://www.pltw.org/stem-grants","https://www.pltw.org/stem-grants")</f>
        <v>https://www.pltw.org/stem-grants</v>
      </c>
    </row>
    <row r="449" spans="1:4" x14ac:dyDescent="0.25">
      <c r="A449" t="s">
        <v>104</v>
      </c>
      <c r="B449" t="s">
        <v>105</v>
      </c>
      <c r="C449" t="s">
        <v>13</v>
      </c>
      <c r="D449" t="str">
        <f>HYPERLINK("https://stemfinity.com/pages/stem-grants","https://stemfinity.com/pages/stem-grants")</f>
        <v>https://stemfinity.com/pages/stem-grants</v>
      </c>
    </row>
    <row r="450" spans="1:4" x14ac:dyDescent="0.25">
      <c r="A450" t="s">
        <v>104</v>
      </c>
      <c r="B450" t="s">
        <v>105</v>
      </c>
      <c r="C450" t="s">
        <v>42</v>
      </c>
      <c r="D450" t="str">
        <f>HYPERLINK("https://occrl.illinois.edu/prc/stem-grants","https://occrl.illinois.edu/prc/stem-grants")</f>
        <v>https://occrl.illinois.edu/prc/stem-grants</v>
      </c>
    </row>
    <row r="451" spans="1:4" x14ac:dyDescent="0.25">
      <c r="A451" t="s">
        <v>104</v>
      </c>
      <c r="B451" t="s">
        <v>105</v>
      </c>
      <c r="C451" t="s">
        <v>31</v>
      </c>
      <c r="D451" t="str">
        <f>HYPERLINK("https://www.doe.mass.edu/stem/grants.html","https://www.doe.mass.edu/stem/grants.html")</f>
        <v>https://www.doe.mass.edu/stem/grants.html</v>
      </c>
    </row>
    <row r="452" spans="1:4" x14ac:dyDescent="0.25">
      <c r="A452" t="s">
        <v>104</v>
      </c>
      <c r="B452" t="s">
        <v>105</v>
      </c>
      <c r="C452" t="s">
        <v>7</v>
      </c>
      <c r="D452" t="str">
        <f>HYPERLINK("https://stemgrants.com/stem-grants-for-k-12-nonprofits/","https://stemgrants.com/stem-grants-for-k-12-nonprofits/")</f>
        <v>https://stemgrants.com/stem-grants-for-k-12-nonprofits/</v>
      </c>
    </row>
    <row r="453" spans="1:4" x14ac:dyDescent="0.25">
      <c r="A453" t="s">
        <v>104</v>
      </c>
      <c r="B453" t="s">
        <v>105</v>
      </c>
      <c r="C453" t="s">
        <v>150</v>
      </c>
      <c r="D453" t="str">
        <f>HYPERLINK("https://snohomishstem.org/stem-grants-educators/","https://snohomishstem.org/stem-grants-educators/")</f>
        <v>https://snohomishstem.org/stem-grants-educators/</v>
      </c>
    </row>
    <row r="454" spans="1:4" x14ac:dyDescent="0.25">
      <c r="A454" t="s">
        <v>104</v>
      </c>
      <c r="B454" t="s">
        <v>105</v>
      </c>
      <c r="C454" t="s">
        <v>36</v>
      </c>
      <c r="D454" t="str">
        <f>HYPERLINK("https://nextwavestem.com/stem-grants-for-teachers","https://nextwavestem.com/stem-grants-for-teachers")</f>
        <v>https://nextwavestem.com/stem-grants-for-teachers</v>
      </c>
    </row>
    <row r="455" spans="1:4" x14ac:dyDescent="0.25">
      <c r="A455" t="s">
        <v>104</v>
      </c>
      <c r="B455" t="s">
        <v>105</v>
      </c>
      <c r="C455" t="s">
        <v>123</v>
      </c>
      <c r="D455" t="str">
        <f>HYPERLINK("https://washingtonstemeducation.org/stem-like-me/","https://washingtonstemeducation.org/stem-like-me/")</f>
        <v>https://washingtonstemeducation.org/stem-like-me/</v>
      </c>
    </row>
    <row r="456" spans="1:4" x14ac:dyDescent="0.25">
      <c r="A456" t="s">
        <v>104</v>
      </c>
      <c r="B456" t="s">
        <v>105</v>
      </c>
      <c r="C456" t="s">
        <v>194</v>
      </c>
      <c r="D456" t="str">
        <f>HYPERLINK("https://eric.ed.gov/?id=ED573038","https://eric.ed.gov/?id=ED573038")</f>
        <v>https://eric.ed.gov/?id=ED573038</v>
      </c>
    </row>
    <row r="457" spans="1:4" x14ac:dyDescent="0.25">
      <c r="A457" t="s">
        <v>104</v>
      </c>
      <c r="B457" t="s">
        <v>105</v>
      </c>
      <c r="C457" t="s">
        <v>14</v>
      </c>
      <c r="D457" t="str">
        <f>HYPERLINK("https://www.societyforscience.org/outreach-and-equity/stem-research-grants/","https://www.societyforscience.org/outreach-and-equity/stem-research-grants/")</f>
        <v>https://www.societyforscience.org/outreach-and-equity/stem-research-grants/</v>
      </c>
    </row>
    <row r="458" spans="1:4" x14ac:dyDescent="0.25">
      <c r="A458" t="s">
        <v>104</v>
      </c>
      <c r="B458" t="s">
        <v>105</v>
      </c>
      <c r="C458" t="s">
        <v>139</v>
      </c>
      <c r="D458" t="str">
        <f>HYPERLINK("https://www.etsu.edu/coe/stem-education/resources.php","https://www.etsu.edu/coe/stem-education/resources.php")</f>
        <v>https://www.etsu.edu/coe/stem-education/resources.php</v>
      </c>
    </row>
    <row r="459" spans="1:4" x14ac:dyDescent="0.25">
      <c r="A459" t="s">
        <v>104</v>
      </c>
      <c r="B459" t="s">
        <v>105</v>
      </c>
      <c r="C459" t="s">
        <v>116</v>
      </c>
      <c r="D459" t="str">
        <f>HYPERLINK("https://www.forbes.com/advisor/education/career-resources/grants-for-teachers/","https://www.forbes.com/advisor/education/career-resources/grants-for-teachers/")</f>
        <v>https://www.forbes.com/advisor/education/career-resources/grants-for-teachers/</v>
      </c>
    </row>
    <row r="460" spans="1:4" x14ac:dyDescent="0.25">
      <c r="A460" t="s">
        <v>104</v>
      </c>
      <c r="B460" t="s">
        <v>105</v>
      </c>
      <c r="C460" t="s">
        <v>191</v>
      </c>
      <c r="D460" t="str">
        <f>HYPERLINK("https://eric.ed.gov/?id=ED603678","https://eric.ed.gov/?id=ED603678")</f>
        <v>https://eric.ed.gov/?id=ED603678</v>
      </c>
    </row>
    <row r="461" spans="1:4" x14ac:dyDescent="0.25">
      <c r="A461" t="s">
        <v>104</v>
      </c>
      <c r="B461" t="s">
        <v>105</v>
      </c>
      <c r="C461" t="s">
        <v>204</v>
      </c>
      <c r="D461" t="str">
        <f>HYPERLINK("https://eric.ed.gov/?id=ED603681","https://eric.ed.gov/?id=ED603681")</f>
        <v>https://eric.ed.gov/?id=ED603681</v>
      </c>
    </row>
    <row r="462" spans="1:4" x14ac:dyDescent="0.25">
      <c r="A462" t="s">
        <v>104</v>
      </c>
      <c r="B462" t="s">
        <v>105</v>
      </c>
      <c r="C462" t="s">
        <v>213</v>
      </c>
      <c r="D462" t="str">
        <f>HYPERLINK("https://eric.ed.gov/?id=ED603680","https://eric.ed.gov/?id=ED603680")</f>
        <v>https://eric.ed.gov/?id=ED603680</v>
      </c>
    </row>
    <row r="463" spans="1:4" x14ac:dyDescent="0.25">
      <c r="A463" t="s">
        <v>104</v>
      </c>
      <c r="B463" t="s">
        <v>105</v>
      </c>
      <c r="C463" t="s">
        <v>25</v>
      </c>
      <c r="D463" t="str">
        <f>HYPERLINK("https://solidprofessor.com/blog/a-comprehensive-list-of-grants-for-teachers-find-funding-for-your-stem-curriculum/","https://solidprofessor.com/blog/a-comprehensive-list-of-grants-for-teachers-find-funding-for-your-stem-curriculum/")</f>
        <v>https://solidprofessor.com/blog/a-comprehensive-list-of-grants-for-teachers-find-funding-for-your-stem-curriculum/</v>
      </c>
    </row>
    <row r="464" spans="1:4" x14ac:dyDescent="0.25">
      <c r="A464" t="s">
        <v>104</v>
      </c>
      <c r="B464" t="s">
        <v>105</v>
      </c>
      <c r="C464" t="s">
        <v>215</v>
      </c>
      <c r="D464" t="str">
        <f>HYPERLINK("https://link.springer.com/article/10.1007/s12115-015-9890-6","https://link.springer.com/article/10.1007/s12115-015-9890-6")</f>
        <v>https://link.springer.com/article/10.1007/s12115-015-9890-6</v>
      </c>
    </row>
    <row r="465" spans="1:4" x14ac:dyDescent="0.25">
      <c r="A465" t="s">
        <v>104</v>
      </c>
      <c r="B465" t="s">
        <v>105</v>
      </c>
      <c r="C465" t="s">
        <v>209</v>
      </c>
      <c r="D465" t="str">
        <f>HYPERLINK("https://search.proquest.com/openview/dd5e6f4f814a07046a94ab0eff3a7f41/1?pq-origsite=gscholar&amp;cbl=49226","https://search.proquest.com/openview/dd5e6f4f814a07046a94ab0eff3a7f41/1?pq-origsite=gscholar&amp;cbl=49226")</f>
        <v>https://search.proquest.com/openview/dd5e6f4f814a07046a94ab0eff3a7f41/1?pq-origsite=gscholar&amp;cbl=49226</v>
      </c>
    </row>
    <row r="466" spans="1:4" x14ac:dyDescent="0.25">
      <c r="A466" t="s">
        <v>104</v>
      </c>
      <c r="B466" t="s">
        <v>105</v>
      </c>
      <c r="C466" t="s">
        <v>203</v>
      </c>
      <c r="D466" t="str">
        <f>HYPERLINK("https://www.emerald.com/insight/content/doi/10.1108/S1479-368720210000035011","https://www.emerald.com/insight/content/doi/10.1108/S1479-368720210000035011")</f>
        <v>https://www.emerald.com/insight/content/doi/10.1108/S1479-368720210000035011</v>
      </c>
    </row>
    <row r="467" spans="1:4" x14ac:dyDescent="0.25">
      <c r="A467" t="s">
        <v>104</v>
      </c>
      <c r="B467" t="s">
        <v>105</v>
      </c>
      <c r="C467" t="s">
        <v>153</v>
      </c>
      <c r="D467" t="str">
        <f>HYPERLINK("https://educate.iowa.gov/pk-12/student-services/specialized-support/therapeutic-classroom","https://educate.iowa.gov/pk-12/student-services/specialized-support/therapeutic-classroom")</f>
        <v>https://educate.iowa.gov/pk-12/student-services/specialized-support/therapeutic-classroom</v>
      </c>
    </row>
    <row r="468" spans="1:4" x14ac:dyDescent="0.25">
      <c r="A468" t="s">
        <v>104</v>
      </c>
      <c r="B468" t="s">
        <v>105</v>
      </c>
      <c r="C468" t="s">
        <v>198</v>
      </c>
      <c r="D468" t="str">
        <f>HYPERLINK("https://pubs.acs.org/doi/abs/10.1021/bk-2018-1280.ch001","https://pubs.acs.org/doi/abs/10.1021/bk-2018-1280.ch001")</f>
        <v>https://pubs.acs.org/doi/abs/10.1021/bk-2018-1280.ch001</v>
      </c>
    </row>
    <row r="469" spans="1:4" x14ac:dyDescent="0.25">
      <c r="A469" t="s">
        <v>104</v>
      </c>
      <c r="B469" t="s">
        <v>105</v>
      </c>
      <c r="C469" t="s">
        <v>125</v>
      </c>
      <c r="D469" t="str">
        <f>HYPERLINK("https://www.tsin.org/tva-partnership-announces-1-million-in-2022-stem-classroom-grants","https://www.tsin.org/tva-partnership-announces-1-million-in-2022-stem-classroom-grants")</f>
        <v>https://www.tsin.org/tva-partnership-announces-1-million-in-2022-stem-classroom-grants</v>
      </c>
    </row>
    <row r="470" spans="1:4" x14ac:dyDescent="0.25">
      <c r="A470" t="s">
        <v>104</v>
      </c>
      <c r="B470" t="s">
        <v>105</v>
      </c>
      <c r="C470" t="s">
        <v>113</v>
      </c>
      <c r="D470" t="str">
        <f>HYPERLINK("https://www.tva.com/stem","https://www.tva.com/stem")</f>
        <v>https://www.tva.com/stem</v>
      </c>
    </row>
    <row r="471" spans="1:4" x14ac:dyDescent="0.25">
      <c r="A471" t="s">
        <v>104</v>
      </c>
      <c r="B471" t="s">
        <v>105</v>
      </c>
      <c r="C471" t="s">
        <v>192</v>
      </c>
      <c r="D471" t="str">
        <f>HYPERLINK("https://journals.sagepub.com/doi/abs/10.1177/0013175X1309200205","https://journals.sagepub.com/doi/abs/10.1177/0013175X1309200205")</f>
        <v>https://journals.sagepub.com/doi/abs/10.1177/0013175X1309200205</v>
      </c>
    </row>
    <row r="472" spans="1:4" x14ac:dyDescent="0.25">
      <c r="A472" t="s">
        <v>104</v>
      </c>
      <c r="B472" t="s">
        <v>105</v>
      </c>
      <c r="C472" t="s">
        <v>165</v>
      </c>
      <c r="D472" t="str">
        <f>HYPERLINK("https://www.rigb.org/learning/grants-schools","https://www.rigb.org/learning/grants-schools")</f>
        <v>https://www.rigb.org/learning/grants-schools</v>
      </c>
    </row>
    <row r="473" spans="1:4" x14ac:dyDescent="0.25">
      <c r="A473" t="s">
        <v>104</v>
      </c>
      <c r="B473" t="s">
        <v>105</v>
      </c>
      <c r="C473" t="s">
        <v>164</v>
      </c>
      <c r="D473" t="str">
        <f>HYPERLINK("https://www.see-science.co.uk/whats-on/grants/","https://www.see-science.co.uk/whats-on/grants/")</f>
        <v>https://www.see-science.co.uk/whats-on/grants/</v>
      </c>
    </row>
    <row r="474" spans="1:4" x14ac:dyDescent="0.25">
      <c r="A474" t="s">
        <v>104</v>
      </c>
      <c r="B474" t="s">
        <v>105</v>
      </c>
      <c r="C474" t="s">
        <v>163</v>
      </c>
      <c r="D474" t="str">
        <f>HYPERLINK("https://www.stem.org.uk/news-and-views/news/apply-royal-society-partnership-grant-your-school","https://www.stem.org.uk/news-and-views/news/apply-royal-society-partnership-grant-your-school")</f>
        <v>https://www.stem.org.uk/news-and-views/news/apply-royal-society-partnership-grant-your-school</v>
      </c>
    </row>
    <row r="475" spans="1:4" x14ac:dyDescent="0.25">
      <c r="A475" t="s">
        <v>104</v>
      </c>
      <c r="B475" t="s">
        <v>105</v>
      </c>
      <c r="C475" t="s">
        <v>176</v>
      </c>
      <c r="D475" t="str">
        <f>HYPERLINK("https://www.y12.doe.gov/news/press-releases/y-12-accepting-applications-stem-classroom-grants","https://www.y12.doe.gov/news/press-releases/y-12-accepting-applications-stem-classroom-grants")</f>
        <v>https://www.y12.doe.gov/news/press-releases/y-12-accepting-applications-stem-classroom-grants</v>
      </c>
    </row>
    <row r="476" spans="1:4" x14ac:dyDescent="0.25">
      <c r="A476" t="s">
        <v>104</v>
      </c>
      <c r="B476" t="s">
        <v>105</v>
      </c>
      <c r="C476" t="s">
        <v>169</v>
      </c>
      <c r="D476" t="str">
        <f>HYPERLINK("https://www.y12.doe.gov/news/press-releases/y-12-accepting-stem-classroom-grant-applications-0","https://www.y12.doe.gov/news/press-releases/y-12-accepting-stem-classroom-grant-applications-0")</f>
        <v>https://www.y12.doe.gov/news/press-releases/y-12-accepting-stem-classroom-grant-applications-0</v>
      </c>
    </row>
    <row r="477" spans="1:4" x14ac:dyDescent="0.25">
      <c r="A477" t="s">
        <v>104</v>
      </c>
      <c r="B477" t="s">
        <v>105</v>
      </c>
      <c r="C477" t="s">
        <v>132</v>
      </c>
      <c r="D477" t="str">
        <f>HYPERLINK("https://www.y12.doe.gov/community/educational-outreach/y-12-stem-classroom-grants","https://www.y12.doe.gov/community/educational-outreach/y-12-stem-classroom-grants")</f>
        <v>https://www.y12.doe.gov/community/educational-outreach/y-12-stem-classroom-grants</v>
      </c>
    </row>
    <row r="478" spans="1:4" x14ac:dyDescent="0.25">
      <c r="A478" t="s">
        <v>104</v>
      </c>
      <c r="B478" t="s">
        <v>105</v>
      </c>
      <c r="C478" t="s">
        <v>6</v>
      </c>
      <c r="D478" t="str">
        <f>HYPERLINK("https://www.ed.gov/about/ed-initiatives/you-belong-stem","https://www.ed.gov/about/ed-initiatives/you-belong-stem")</f>
        <v>https://www.ed.gov/about/ed-initiatives/you-belong-stem</v>
      </c>
    </row>
    <row r="479" spans="1:4" x14ac:dyDescent="0.25">
      <c r="A479" t="s">
        <v>104</v>
      </c>
      <c r="B479" t="s">
        <v>490</v>
      </c>
      <c r="C479" t="s">
        <v>518</v>
      </c>
      <c r="D479" t="str">
        <f>HYPERLINK("https://onlinelibrary.wiley.com/doi/abs/10.1002/sce.21677","https://onlinelibrary.wiley.com/doi/abs/10.1002/sce.21677")</f>
        <v>https://onlinelibrary.wiley.com/doi/abs/10.1002/sce.21677</v>
      </c>
    </row>
    <row r="480" spans="1:4" x14ac:dyDescent="0.25">
      <c r="A480" t="s">
        <v>104</v>
      </c>
      <c r="B480" t="s">
        <v>490</v>
      </c>
      <c r="C480" t="s">
        <v>517</v>
      </c>
      <c r="D480" t="str">
        <f>HYPERLINK("https://search.proquest.com/openview/f7645965f58a172e063f9a38116cb93f/1?pq-origsite=gscholar&amp;cbl=18750","https://search.proquest.com/openview/f7645965f58a172e063f9a38116cb93f/1?pq-origsite=gscholar&amp;cbl=18750")</f>
        <v>https://search.proquest.com/openview/f7645965f58a172e063f9a38116cb93f/1?pq-origsite=gscholar&amp;cbl=18750</v>
      </c>
    </row>
    <row r="481" spans="1:4" x14ac:dyDescent="0.25">
      <c r="A481" t="s">
        <v>104</v>
      </c>
      <c r="B481" t="s">
        <v>490</v>
      </c>
      <c r="C481" t="s">
        <v>497</v>
      </c>
      <c r="D481" t="str">
        <f>HYPERLINK("https://www.pltw.org/plan-for-pltw/investment/funding-grants","https://www.pltw.org/plan-for-pltw/investment/funding-grants")</f>
        <v>https://www.pltw.org/plan-for-pltw/investment/funding-grants</v>
      </c>
    </row>
    <row r="482" spans="1:4" x14ac:dyDescent="0.25">
      <c r="A482" t="s">
        <v>104</v>
      </c>
      <c r="B482" t="s">
        <v>490</v>
      </c>
      <c r="C482" t="s">
        <v>495</v>
      </c>
      <c r="D482" t="str">
        <f>HYPERLINK("https://www.afterschoolalliance.org/stemfunding.cfm","https://www.afterschoolalliance.org/stemfunding.cfm")</f>
        <v>https://www.afterschoolalliance.org/stemfunding.cfm</v>
      </c>
    </row>
    <row r="483" spans="1:4" x14ac:dyDescent="0.25">
      <c r="A483" t="s">
        <v>104</v>
      </c>
      <c r="B483" t="s">
        <v>490</v>
      </c>
      <c r="C483" t="s">
        <v>511</v>
      </c>
      <c r="D483" t="str">
        <f>HYPERLINK("https://link.springer.com/article/10.1186/s40594-022-00348-w","https://link.springer.com/article/10.1186/s40594-022-00348-w")</f>
        <v>https://link.springer.com/article/10.1186/s40594-022-00348-w</v>
      </c>
    </row>
    <row r="484" spans="1:4" x14ac:dyDescent="0.25">
      <c r="A484" t="s">
        <v>104</v>
      </c>
      <c r="B484" t="s">
        <v>490</v>
      </c>
      <c r="C484" t="s">
        <v>492</v>
      </c>
      <c r="D484" t="str">
        <f>HYPERLINK("https://www.ed.gov/about/news/press-release/biden-harris-administration-announces-277-million-education-innovation-and","https://www.ed.gov/about/news/press-release/biden-harris-administration-announces-277-million-education-innovation-and")</f>
        <v>https://www.ed.gov/about/news/press-release/biden-harris-administration-announces-277-million-education-innovation-and</v>
      </c>
    </row>
    <row r="485" spans="1:4" x14ac:dyDescent="0.25">
      <c r="A485" t="s">
        <v>104</v>
      </c>
      <c r="B485" t="s">
        <v>490</v>
      </c>
      <c r="C485" t="s">
        <v>506</v>
      </c>
      <c r="D485" t="str">
        <f>HYPERLINK("https://onlinelibrary.wiley.com/doi/abs/10.1002/sce.21318","https://onlinelibrary.wiley.com/doi/abs/10.1002/sce.21318")</f>
        <v>https://onlinelibrary.wiley.com/doi/abs/10.1002/sce.21318</v>
      </c>
    </row>
    <row r="486" spans="1:4" x14ac:dyDescent="0.25">
      <c r="A486" t="s">
        <v>104</v>
      </c>
      <c r="B486" t="s">
        <v>490</v>
      </c>
      <c r="C486" t="s">
        <v>515</v>
      </c>
      <c r="D486" t="str">
        <f>HYPERLINK("https://www.jstem.org/jstem/index.php/JSTEM/article/view/1663","https://www.jstem.org/jstem/index.php/JSTEM/article/view/1663")</f>
        <v>https://www.jstem.org/jstem/index.php/JSTEM/article/view/1663</v>
      </c>
    </row>
    <row r="487" spans="1:4" x14ac:dyDescent="0.25">
      <c r="A487" t="s">
        <v>104</v>
      </c>
      <c r="B487" t="s">
        <v>490</v>
      </c>
      <c r="C487" t="s">
        <v>491</v>
      </c>
      <c r="D487" t="str">
        <f>HYPERLINK("https://teachergeek.com/pages/canadian-grant-funding-opportunities","https://teachergeek.com/pages/canadian-grant-funding-opportunities")</f>
        <v>https://teachergeek.com/pages/canadian-grant-funding-opportunities</v>
      </c>
    </row>
    <row r="488" spans="1:4" x14ac:dyDescent="0.25">
      <c r="A488" t="s">
        <v>104</v>
      </c>
      <c r="B488" t="s">
        <v>490</v>
      </c>
      <c r="C488" t="s">
        <v>507</v>
      </c>
      <c r="D488" t="str">
        <f>HYPERLINK("https://www.tandfonline.com/doi/abs/10.1080/00220671.2013.823364","https://www.tandfonline.com/doi/abs/10.1080/00220671.2013.823364")</f>
        <v>https://www.tandfonline.com/doi/abs/10.1080/00220671.2013.823364</v>
      </c>
    </row>
    <row r="489" spans="1:4" x14ac:dyDescent="0.25">
      <c r="A489" t="s">
        <v>104</v>
      </c>
      <c r="B489" t="s">
        <v>490</v>
      </c>
      <c r="C489" t="s">
        <v>501</v>
      </c>
      <c r="D489" t="str">
        <f>HYPERLINK("https://www.tandfonline.com/doi/abs/10.1080/00220671.2013.823367","https://www.tandfonline.com/doi/abs/10.1080/00220671.2013.823367")</f>
        <v>https://www.tandfonline.com/doi/abs/10.1080/00220671.2013.823367</v>
      </c>
    </row>
    <row r="490" spans="1:4" x14ac:dyDescent="0.25">
      <c r="A490" t="s">
        <v>104</v>
      </c>
      <c r="B490" t="s">
        <v>490</v>
      </c>
      <c r="C490" t="s">
        <v>512</v>
      </c>
      <c r="D490" t="str">
        <f>HYPERLINK("https://onlinelibrary.wiley.com/doi/abs/10.1111/ijtd.12302","https://onlinelibrary.wiley.com/doi/abs/10.1111/ijtd.12302")</f>
        <v>https://onlinelibrary.wiley.com/doi/abs/10.1111/ijtd.12302</v>
      </c>
    </row>
    <row r="491" spans="1:4" x14ac:dyDescent="0.25">
      <c r="A491" t="s">
        <v>104</v>
      </c>
      <c r="B491" t="s">
        <v>490</v>
      </c>
      <c r="C491" t="s">
        <v>509</v>
      </c>
      <c r="D491" t="str">
        <f>HYPERLINK("https://www.academia.edu/download/87087486/131645.pdf","https://www.academia.edu/download/87087486/131645.pdf")</f>
        <v>https://www.academia.edu/download/87087486/131645.pdf</v>
      </c>
    </row>
    <row r="492" spans="1:4" x14ac:dyDescent="0.25">
      <c r="A492" t="s">
        <v>104</v>
      </c>
      <c r="B492" t="s">
        <v>490</v>
      </c>
      <c r="C492" t="s">
        <v>80</v>
      </c>
      <c r="D492" t="str">
        <f>HYPERLINK("https://www.grantwatch.com/grantnews/stem-grants-for-2023/","https://www.grantwatch.com/grantnews/stem-grants-for-2023/")</f>
        <v>https://www.grantwatch.com/grantnews/stem-grants-for-2023/</v>
      </c>
    </row>
    <row r="493" spans="1:4" x14ac:dyDescent="0.25">
      <c r="A493" t="s">
        <v>104</v>
      </c>
      <c r="B493" t="s">
        <v>490</v>
      </c>
      <c r="C493" t="s">
        <v>503</v>
      </c>
      <c r="D493" t="str">
        <f>HYPERLINK("https://onlinelibrary.wiley.com/doi/abs/10.1002/tea.21213","https://onlinelibrary.wiley.com/doi/abs/10.1002/tea.21213")</f>
        <v>https://onlinelibrary.wiley.com/doi/abs/10.1002/tea.21213</v>
      </c>
    </row>
    <row r="494" spans="1:4" x14ac:dyDescent="0.25">
      <c r="A494" t="s">
        <v>104</v>
      </c>
      <c r="B494" t="s">
        <v>490</v>
      </c>
      <c r="C494" t="s">
        <v>510</v>
      </c>
      <c r="D494" t="str">
        <f>HYPERLINK("https://onlinelibrary.wiley.com/doi/abs/10.1111/j.1949-8594.2011.00110.x","https://onlinelibrary.wiley.com/doi/abs/10.1111/j.1949-8594.2011.00110.x")</f>
        <v>https://onlinelibrary.wiley.com/doi/abs/10.1111/j.1949-8594.2011.00110.x</v>
      </c>
    </row>
    <row r="495" spans="1:4" x14ac:dyDescent="0.25">
      <c r="A495" t="s">
        <v>104</v>
      </c>
      <c r="B495" t="s">
        <v>490</v>
      </c>
      <c r="C495" t="s">
        <v>502</v>
      </c>
      <c r="D495" t="str">
        <f>HYPERLINK("https://onlinelibrary.wiley.com/doi/abs/10.1002/soej.12597","https://onlinelibrary.wiley.com/doi/abs/10.1002/soej.12597")</f>
        <v>https://onlinelibrary.wiley.com/doi/abs/10.1002/soej.12597</v>
      </c>
    </row>
    <row r="496" spans="1:4" x14ac:dyDescent="0.25">
      <c r="A496" t="s">
        <v>104</v>
      </c>
      <c r="B496" t="s">
        <v>490</v>
      </c>
      <c r="C496" t="s">
        <v>500</v>
      </c>
      <c r="D496" t="str">
        <f>HYPERLINK("https://www.srnl.gov/k-12-catalyst-grants/","https://www.srnl.gov/k-12-catalyst-grants/")</f>
        <v>https://www.srnl.gov/k-12-catalyst-grants/</v>
      </c>
    </row>
    <row r="497" spans="1:4" x14ac:dyDescent="0.25">
      <c r="A497" t="s">
        <v>104</v>
      </c>
      <c r="B497" t="s">
        <v>490</v>
      </c>
      <c r="C497" t="s">
        <v>513</v>
      </c>
      <c r="D497" t="str">
        <f>HYPERLINK("https://link.springer.com/article/10.1007/s10972-010-9191-2","https://link.springer.com/article/10.1007/s10972-010-9191-2")</f>
        <v>https://link.springer.com/article/10.1007/s10972-010-9191-2</v>
      </c>
    </row>
    <row r="498" spans="1:4" x14ac:dyDescent="0.25">
      <c r="A498" t="s">
        <v>104</v>
      </c>
      <c r="B498" t="s">
        <v>490</v>
      </c>
      <c r="C498" t="s">
        <v>496</v>
      </c>
      <c r="D498" t="str">
        <f>HYPERLINK("https://www.ed.gov/stem","https://www.ed.gov/stem")</f>
        <v>https://www.ed.gov/stem</v>
      </c>
    </row>
    <row r="499" spans="1:4" x14ac:dyDescent="0.25">
      <c r="A499" t="s">
        <v>104</v>
      </c>
      <c r="B499" t="s">
        <v>490</v>
      </c>
      <c r="C499" t="s">
        <v>505</v>
      </c>
      <c r="D499" t="str">
        <f>HYPERLINK("https://books.google.com/books?hl=en&amp;lr=&amp;id=iwOqlhZpsHoC&amp;oi=fnd&amp;pg=PA161&amp;dq=stem+grants+for+schools&amp;ots=ZSXfJ-BgA-&amp;sig=V9IZDWg2cQkYGXPFjTjf91r8dbw","https://books.google.com/books?hl=en&amp;lr=&amp;id=iwOqlhZpsHoC&amp;oi=fnd&amp;pg=PA161&amp;dq=stem+grants+for+schools&amp;ots=ZSXfJ-BgA-&amp;sig=V9IZDWg2cQkYGXPFjTjf91r8dbw")</f>
        <v>https://books.google.com/books?hl=en&amp;lr=&amp;id=iwOqlhZpsHoC&amp;oi=fnd&amp;pg=PA161&amp;dq=stem+grants+for+schools&amp;ots=ZSXfJ-BgA-&amp;sig=V9IZDWg2cQkYGXPFjTjf91r8dbw</v>
      </c>
    </row>
    <row r="500" spans="1:4" x14ac:dyDescent="0.25">
      <c r="A500" t="s">
        <v>104</v>
      </c>
      <c r="B500" t="s">
        <v>490</v>
      </c>
      <c r="C500" t="s">
        <v>78</v>
      </c>
      <c r="D500" t="str">
        <f>HYPERLINK("https://see-science.co.uk/","https://see-science.co.uk/")</f>
        <v>https://see-science.co.uk/</v>
      </c>
    </row>
    <row r="501" spans="1:4" x14ac:dyDescent="0.25">
      <c r="A501" t="s">
        <v>104</v>
      </c>
      <c r="B501" t="s">
        <v>490</v>
      </c>
      <c r="C501" t="s">
        <v>504</v>
      </c>
      <c r="D501" t="str">
        <f>HYPERLINK("https://www.tandfonline.com/doi/abs/10.1080/02783190903386892","https://www.tandfonline.com/doi/abs/10.1080/02783190903386892")</f>
        <v>https://www.tandfonline.com/doi/abs/10.1080/02783190903386892</v>
      </c>
    </row>
    <row r="502" spans="1:4" x14ac:dyDescent="0.25">
      <c r="A502" t="s">
        <v>104</v>
      </c>
      <c r="B502" t="s">
        <v>490</v>
      </c>
      <c r="C502" t="s">
        <v>15</v>
      </c>
      <c r="D502" t="str">
        <f>HYPERLINK("https://www.societyforscience.org/outreach-and-equity/stem-action-grants/about/","https://www.societyforscience.org/outreach-and-equity/stem-action-grants/about/")</f>
        <v>https://www.societyforscience.org/outreach-and-equity/stem-action-grants/about/</v>
      </c>
    </row>
    <row r="503" spans="1:4" x14ac:dyDescent="0.25">
      <c r="A503" t="s">
        <v>104</v>
      </c>
      <c r="B503" t="s">
        <v>490</v>
      </c>
      <c r="C503" t="s">
        <v>499</v>
      </c>
      <c r="D503" t="str">
        <f>HYPERLINK("https://www.instrumentl.com/browse-grants/california/stem-education-grants","https://www.instrumentl.com/browse-grants/california/stem-education-grants")</f>
        <v>https://www.instrumentl.com/browse-grants/california/stem-education-grants</v>
      </c>
    </row>
    <row r="504" spans="1:4" x14ac:dyDescent="0.25">
      <c r="A504" t="s">
        <v>104</v>
      </c>
      <c r="B504" t="s">
        <v>490</v>
      </c>
      <c r="C504" t="s">
        <v>514</v>
      </c>
      <c r="D504" t="str">
        <f>HYPERLINK("https://peer.asee.org/22479.pdf","https://peer.asee.org/22479.pdf")</f>
        <v>https://peer.asee.org/22479.pdf</v>
      </c>
    </row>
    <row r="505" spans="1:4" x14ac:dyDescent="0.25">
      <c r="A505" t="s">
        <v>104</v>
      </c>
      <c r="B505" t="s">
        <v>490</v>
      </c>
      <c r="C505" t="s">
        <v>516</v>
      </c>
      <c r="D505" t="str">
        <f>HYPERLINK("https://journals.sagepub.com/doi/abs/10.1177/2332858416650870","https://journals.sagepub.com/doi/abs/10.1177/2332858416650870")</f>
        <v>https://journals.sagepub.com/doi/abs/10.1177/2332858416650870</v>
      </c>
    </row>
    <row r="506" spans="1:4" x14ac:dyDescent="0.25">
      <c r="A506" t="s">
        <v>104</v>
      </c>
      <c r="B506" t="s">
        <v>490</v>
      </c>
      <c r="C506" t="s">
        <v>508</v>
      </c>
      <c r="D506" t="str">
        <f>HYPERLINK("https://link.springer.com/article/10.1007/s10763-018-09942-3","https://link.springer.com/article/10.1007/s10763-018-09942-3")</f>
        <v>https://link.springer.com/article/10.1007/s10763-018-09942-3</v>
      </c>
    </row>
    <row r="507" spans="1:4" x14ac:dyDescent="0.25">
      <c r="A507" t="s">
        <v>104</v>
      </c>
      <c r="B507" t="s">
        <v>490</v>
      </c>
      <c r="C507" t="s">
        <v>494</v>
      </c>
      <c r="D507" t="str">
        <f>HYPERLINK("https://www.gov.ie/en/press-release/806d0-minister-for-education-announces-trebling-of-budget-for-stem-grants-for-schools-to-47-million/","https://www.gov.ie/en/press-release/806d0-minister-for-education-announces-trebling-of-budget-for-stem-grants-for-schools-to-47-million/")</f>
        <v>https://www.gov.ie/en/press-release/806d0-minister-for-education-announces-trebling-of-budget-for-stem-grants-for-schools-to-47-million/</v>
      </c>
    </row>
    <row r="508" spans="1:4" x14ac:dyDescent="0.25">
      <c r="A508" t="s">
        <v>104</v>
      </c>
      <c r="B508" t="s">
        <v>490</v>
      </c>
      <c r="C508" t="s">
        <v>493</v>
      </c>
      <c r="D508" t="str">
        <f>HYPERLINK("https://www.sciencecentres.org.uk/resources/stem-clubs/selected-funders-and-their-grants/","https://www.sciencecentres.org.uk/resources/stem-clubs/selected-funders-and-their-grants/")</f>
        <v>https://www.sciencecentres.org.uk/resources/stem-clubs/selected-funders-and-their-grants/</v>
      </c>
    </row>
    <row r="509" spans="1:4" x14ac:dyDescent="0.25">
      <c r="A509" t="s">
        <v>104</v>
      </c>
      <c r="B509" t="s">
        <v>490</v>
      </c>
      <c r="C509" t="s">
        <v>77</v>
      </c>
      <c r="D509" t="str">
        <f>HYPERLINK("https://www.thestemhub.org.uk/resources/primary-competitions-and-grants","https://www.thestemhub.org.uk/resources/primary-competitions-and-grants")</f>
        <v>https://www.thestemhub.org.uk/resources/primary-competitions-and-grants</v>
      </c>
    </row>
    <row r="510" spans="1:4" x14ac:dyDescent="0.25">
      <c r="A510" t="s">
        <v>104</v>
      </c>
      <c r="B510" t="s">
        <v>519</v>
      </c>
      <c r="C510" t="s">
        <v>525</v>
      </c>
      <c r="D510" t="str">
        <f>HYPERLINK("https://www.ecologyproject.org/post/10-great-funding-resources-for-science-teachers","https://www.ecologyproject.org/post/10-great-funding-resources-for-science-teachers")</f>
        <v>https://www.ecologyproject.org/post/10-great-funding-resources-for-science-teachers</v>
      </c>
    </row>
    <row r="511" spans="1:4" x14ac:dyDescent="0.25">
      <c r="A511" t="s">
        <v>104</v>
      </c>
      <c r="B511" t="s">
        <v>519</v>
      </c>
      <c r="C511" t="s">
        <v>546</v>
      </c>
      <c r="D511" t="str">
        <f>HYPERLINK("https://www.science.org/doi/abs/10.1126/science.348.6233.405-a","https://www.science.org/doi/abs/10.1126/science.348.6233.405-a")</f>
        <v>https://www.science.org/doi/abs/10.1126/science.348.6233.405-a</v>
      </c>
    </row>
    <row r="512" spans="1:4" x14ac:dyDescent="0.25">
      <c r="A512" t="s">
        <v>104</v>
      </c>
      <c r="B512" t="s">
        <v>519</v>
      </c>
      <c r="C512" t="s">
        <v>540</v>
      </c>
      <c r="D512" t="str">
        <f>HYPERLINK("https://journals.plos.org/plosone/article?id=10.1371/journal.pone.0272552","https://journals.plos.org/plosone/article?id=10.1371/journal.pone.0272552")</f>
        <v>https://journals.plos.org/plosone/article?id=10.1371/journal.pone.0272552</v>
      </c>
    </row>
    <row r="513" spans="1:4" x14ac:dyDescent="0.25">
      <c r="A513" t="s">
        <v>104</v>
      </c>
      <c r="B513" t="s">
        <v>519</v>
      </c>
      <c r="C513" t="s">
        <v>533</v>
      </c>
      <c r="D513" t="str">
        <f>HYPERLINK("https://www.tandfonline.com/doi/abs/10.1080/02619768.2018.1523390","https://www.tandfonline.com/doi/abs/10.1080/02619768.2018.1523390")</f>
        <v>https://www.tandfonline.com/doi/abs/10.1080/02619768.2018.1523390</v>
      </c>
    </row>
    <row r="514" spans="1:4" x14ac:dyDescent="0.25">
      <c r="A514" t="s">
        <v>104</v>
      </c>
      <c r="B514" t="s">
        <v>519</v>
      </c>
      <c r="C514" t="s">
        <v>532</v>
      </c>
      <c r="D514" t="str">
        <f>HYPERLINK("https://link.springer.com/article/10.1186/s40594-022-00383-7","https://link.springer.com/article/10.1186/s40594-022-00383-7")</f>
        <v>https://link.springer.com/article/10.1186/s40594-022-00383-7</v>
      </c>
    </row>
    <row r="515" spans="1:4" x14ac:dyDescent="0.25">
      <c r="A515" t="s">
        <v>104</v>
      </c>
      <c r="B515" t="s">
        <v>519</v>
      </c>
      <c r="C515" t="s">
        <v>522</v>
      </c>
      <c r="D515" t="str">
        <f>HYPERLINK("https://www.techlearning.com/news/best-grants-for-education","https://www.techlearning.com/news/best-grants-for-education")</f>
        <v>https://www.techlearning.com/news/best-grants-for-education</v>
      </c>
    </row>
    <row r="516" spans="1:4" x14ac:dyDescent="0.25">
      <c r="A516" t="s">
        <v>104</v>
      </c>
      <c r="B516" t="s">
        <v>519</v>
      </c>
      <c r="C516" t="s">
        <v>536</v>
      </c>
      <c r="D516" t="str">
        <f>HYPERLINK("https://www.sciencedirect.com/science/article/pii/S0742051X17319881","https://www.sciencedirect.com/science/article/pii/S0742051X17319881")</f>
        <v>https://www.sciencedirect.com/science/article/pii/S0742051X17319881</v>
      </c>
    </row>
    <row r="517" spans="1:4" x14ac:dyDescent="0.25">
      <c r="A517" t="s">
        <v>104</v>
      </c>
      <c r="B517" t="s">
        <v>519</v>
      </c>
      <c r="C517" t="s">
        <v>530</v>
      </c>
      <c r="D517" t="str">
        <f>HYPERLINK("http://sites.nationalacademies.org/cs/groups/dbassesite/documents/webpage/dbasse_072640.pdf","http://sites.nationalacademies.org/cs/groups/dbassesite/documents/webpage/dbasse_072640.pdf")</f>
        <v>http://sites.nationalacademies.org/cs/groups/dbassesite/documents/webpage/dbasse_072640.pdf</v>
      </c>
    </row>
    <row r="518" spans="1:4" x14ac:dyDescent="0.25">
      <c r="A518" t="s">
        <v>104</v>
      </c>
      <c r="B518" t="s">
        <v>519</v>
      </c>
      <c r="C518" t="s">
        <v>548</v>
      </c>
      <c r="D518" t="str">
        <f>HYPERLINK("https://books.google.com/books?hl=en&amp;lr=&amp;id=Vs5qBgAAQBAJ&amp;oi=fnd&amp;pg=PT11&amp;dq=stem+grants+for+teachers&amp;ots=9wnCMbjsHX&amp;sig=ZfZkXPJxgdvjos8EwFZmanId4zo","https://books.google.com/books?hl=en&amp;lr=&amp;id=Vs5qBgAAQBAJ&amp;oi=fnd&amp;pg=PT11&amp;dq=stem+grants+for+teachers&amp;ots=9wnCMbjsHX&amp;sig=ZfZkXPJxgdvjos8EwFZmanId4zo")</f>
        <v>https://books.google.com/books?hl=en&amp;lr=&amp;id=Vs5qBgAAQBAJ&amp;oi=fnd&amp;pg=PT11&amp;dq=stem+grants+for+teachers&amp;ots=9wnCMbjsHX&amp;sig=ZfZkXPJxgdvjos8EwFZmanId4zo</v>
      </c>
    </row>
    <row r="519" spans="1:4" x14ac:dyDescent="0.25">
      <c r="A519" t="s">
        <v>104</v>
      </c>
      <c r="B519" t="s">
        <v>519</v>
      </c>
      <c r="C519" t="s">
        <v>109</v>
      </c>
      <c r="D519" t="str">
        <f>HYPERLINK("https://stemeducationworks.com/grants/?srsltid=AfmBOopnv7VS9_tFzWreRlBISwCHsR6N9_dEvBaTetyki5sAMCu1zeJB","https://stemeducationworks.com/grants/?srsltid=AfmBOopnv7VS9_tFzWreRlBISwCHsR6N9_dEvBaTetyki5sAMCu1zeJB")</f>
        <v>https://stemeducationworks.com/grants/?srsltid=AfmBOopnv7VS9_tFzWreRlBISwCHsR6N9_dEvBaTetyki5sAMCu1zeJB</v>
      </c>
    </row>
    <row r="520" spans="1:4" x14ac:dyDescent="0.25">
      <c r="A520" t="s">
        <v>104</v>
      </c>
      <c r="B520" t="s">
        <v>519</v>
      </c>
      <c r="C520" t="s">
        <v>498</v>
      </c>
      <c r="D520" t="str">
        <f>HYPERLINK("https://zipgrow.com/grants-for-stem-education/?srsltid=AfmBOooDrWhjT4Xk4NyJYW7KUYLLdx8F5NrCFwXl7sU8Ld_kQkm6rGgh","https://zipgrow.com/grants-for-stem-education/?srsltid=AfmBOooDrWhjT4Xk4NyJYW7KUYLLdx8F5NrCFwXl7sU8Ld_kQkm6rGgh")</f>
        <v>https://zipgrow.com/grants-for-stem-education/?srsltid=AfmBOooDrWhjT4Xk4NyJYW7KUYLLdx8F5NrCFwXl7sU8Ld_kQkm6rGgh</v>
      </c>
    </row>
    <row r="521" spans="1:4" x14ac:dyDescent="0.25">
      <c r="A521" t="s">
        <v>104</v>
      </c>
      <c r="B521" t="s">
        <v>519</v>
      </c>
      <c r="C521" t="s">
        <v>523</v>
      </c>
      <c r="D521" t="str">
        <f>HYPERLINK("https://teach.com/what/teachers-change-lives/grants-for-teachers/","https://teach.com/what/teachers-change-lives/grants-for-teachers/")</f>
        <v>https://teach.com/what/teachers-change-lives/grants-for-teachers/</v>
      </c>
    </row>
    <row r="522" spans="1:4" x14ac:dyDescent="0.25">
      <c r="A522" t="s">
        <v>104</v>
      </c>
      <c r="B522" t="s">
        <v>519</v>
      </c>
      <c r="C522" t="s">
        <v>527</v>
      </c>
      <c r="D522" t="str">
        <f>HYPERLINK("https://www.science.org/doi/abs/10.1126/science.1176999","https://www.science.org/doi/abs/10.1126/science.1176999")</f>
        <v>https://www.science.org/doi/abs/10.1126/science.1176999</v>
      </c>
    </row>
    <row r="523" spans="1:4" x14ac:dyDescent="0.25">
      <c r="A523" t="s">
        <v>104</v>
      </c>
      <c r="B523" t="s">
        <v>519</v>
      </c>
      <c r="C523" t="s">
        <v>520</v>
      </c>
      <c r="D523" t="str">
        <f>HYPERLINK("https://blog.thegrantportal.com/2024/02/16/here-are-the-top-stem-grants-available-in-2024/","https://blog.thegrantportal.com/2024/02/16/here-are-the-top-stem-grants-available-in-2024/")</f>
        <v>https://blog.thegrantportal.com/2024/02/16/here-are-the-top-stem-grants-available-in-2024/</v>
      </c>
    </row>
    <row r="524" spans="1:4" x14ac:dyDescent="0.25">
      <c r="A524" t="s">
        <v>104</v>
      </c>
      <c r="B524" t="s">
        <v>519</v>
      </c>
      <c r="C524" t="s">
        <v>534</v>
      </c>
      <c r="D524" t="str">
        <f>HYPERLINK("https://search.proquest.com/openview/cae1b1e3a1316682357113a6283188d4/1?pq-origsite=gscholar&amp;cbl=49226","https://search.proquest.com/openview/cae1b1e3a1316682357113a6283188d4/1?pq-origsite=gscholar&amp;cbl=49226")</f>
        <v>https://search.proquest.com/openview/cae1b1e3a1316682357113a6283188d4/1?pq-origsite=gscholar&amp;cbl=49226</v>
      </c>
    </row>
    <row r="525" spans="1:4" x14ac:dyDescent="0.25">
      <c r="A525" t="s">
        <v>104</v>
      </c>
      <c r="B525" t="s">
        <v>519</v>
      </c>
      <c r="C525" t="s">
        <v>544</v>
      </c>
      <c r="D525" t="str">
        <f>HYPERLINK("https://jstem.org/jstem/index.php/JSTEM/article/view/2541","https://jstem.org/jstem/index.php/JSTEM/article/view/2541")</f>
        <v>https://jstem.org/jstem/index.php/JSTEM/article/view/2541</v>
      </c>
    </row>
    <row r="526" spans="1:4" x14ac:dyDescent="0.25">
      <c r="A526" t="s">
        <v>104</v>
      </c>
      <c r="B526" t="s">
        <v>519</v>
      </c>
      <c r="C526" t="s">
        <v>547</v>
      </c>
      <c r="D526" t="str">
        <f>HYPERLINK("https://www.frontiersin.org/articles/10.3389/feduc.2019.00026/full","https://www.frontiersin.org/articles/10.3389/feduc.2019.00026/full")</f>
        <v>https://www.frontiersin.org/articles/10.3389/feduc.2019.00026/full</v>
      </c>
    </row>
    <row r="527" spans="1:4" x14ac:dyDescent="0.25">
      <c r="A527" t="s">
        <v>104</v>
      </c>
      <c r="B527" t="s">
        <v>519</v>
      </c>
      <c r="C527" t="s">
        <v>542</v>
      </c>
      <c r="D527" t="str">
        <f>HYPERLINK("https://www.tandfonline.com/doi/full/10.1080/00091381003730185","https://www.tandfonline.com/doi/full/10.1080/00091381003730185")</f>
        <v>https://www.tandfonline.com/doi/full/10.1080/00091381003730185</v>
      </c>
    </row>
    <row r="528" spans="1:4" x14ac:dyDescent="0.25">
      <c r="A528" t="s">
        <v>104</v>
      </c>
      <c r="B528" t="s">
        <v>519</v>
      </c>
      <c r="C528" t="s">
        <v>541</v>
      </c>
      <c r="D528" t="str">
        <f>HYPERLINK("https://jae-online.org/index.php/jae/article/view/2462","https://jae-online.org/index.php/jae/article/view/2462")</f>
        <v>https://jae-online.org/index.php/jae/article/view/2462</v>
      </c>
    </row>
    <row r="529" spans="1:4" x14ac:dyDescent="0.25">
      <c r="A529" t="s">
        <v>104</v>
      </c>
      <c r="B529" t="s">
        <v>519</v>
      </c>
      <c r="C529" t="s">
        <v>537</v>
      </c>
      <c r="D529" t="str">
        <f>HYPERLINK("https://ieeexplore.ieee.org/abstract/document/6891035/","https://ieeexplore.ieee.org/abstract/document/6891035/")</f>
        <v>https://ieeexplore.ieee.org/abstract/document/6891035/</v>
      </c>
    </row>
    <row r="530" spans="1:4" x14ac:dyDescent="0.25">
      <c r="A530" t="s">
        <v>104</v>
      </c>
      <c r="B530" t="s">
        <v>519</v>
      </c>
      <c r="C530" t="s">
        <v>545</v>
      </c>
      <c r="D530" t="str">
        <f>HYPERLINK("https://link.springer.com/article/10.1007/s10798-018-9440-9","https://link.springer.com/article/10.1007/s10798-018-9440-9")</f>
        <v>https://link.springer.com/article/10.1007/s10798-018-9440-9</v>
      </c>
    </row>
    <row r="531" spans="1:4" x14ac:dyDescent="0.25">
      <c r="A531" t="s">
        <v>104</v>
      </c>
      <c r="B531" t="s">
        <v>519</v>
      </c>
      <c r="C531" t="s">
        <v>543</v>
      </c>
      <c r="D531" t="str">
        <f>HYPERLINK("https://www.tandfonline.com/doi/abs/10.1080/13603124.2021.2006794","https://www.tandfonline.com/doi/abs/10.1080/13603124.2021.2006794")</f>
        <v>https://www.tandfonline.com/doi/abs/10.1080/13603124.2021.2006794</v>
      </c>
    </row>
    <row r="532" spans="1:4" x14ac:dyDescent="0.25">
      <c r="A532" t="s">
        <v>104</v>
      </c>
      <c r="B532" t="s">
        <v>519</v>
      </c>
      <c r="C532" t="s">
        <v>528</v>
      </c>
      <c r="D532" t="str">
        <f>HYPERLINK("https://www.sciencedirect.com/science/article/pii/S0742051X21000858","https://www.sciencedirect.com/science/article/pii/S0742051X21000858")</f>
        <v>https://www.sciencedirect.com/science/article/pii/S0742051X21000858</v>
      </c>
    </row>
    <row r="533" spans="1:4" x14ac:dyDescent="0.25">
      <c r="A533" t="s">
        <v>104</v>
      </c>
      <c r="B533" t="s">
        <v>519</v>
      </c>
      <c r="C533" t="s">
        <v>505</v>
      </c>
      <c r="D533" t="str">
        <f>HYPERLINK("https://books.google.com/books?hl=en&amp;lr=&amp;id=iwOqlhZpsHoC&amp;oi=fnd&amp;pg=PA161&amp;dq=stem+grants+for+teachers&amp;ots=ZSXfJ-CmG4&amp;sig=FVFVt7KsWtJCLbqXDlhbjaZWuw8","https://books.google.com/books?hl=en&amp;lr=&amp;id=iwOqlhZpsHoC&amp;oi=fnd&amp;pg=PA161&amp;dq=stem+grants+for+teachers&amp;ots=ZSXfJ-CmG4&amp;sig=FVFVt7KsWtJCLbqXDlhbjaZWuw8")</f>
        <v>https://books.google.com/books?hl=en&amp;lr=&amp;id=iwOqlhZpsHoC&amp;oi=fnd&amp;pg=PA161&amp;dq=stem+grants+for+teachers&amp;ots=ZSXfJ-CmG4&amp;sig=FVFVt7KsWtJCLbqXDlhbjaZWuw8</v>
      </c>
    </row>
    <row r="534" spans="1:4" x14ac:dyDescent="0.25">
      <c r="A534" t="s">
        <v>104</v>
      </c>
      <c r="B534" t="s">
        <v>519</v>
      </c>
      <c r="C534" t="s">
        <v>39</v>
      </c>
      <c r="D534" t="str">
        <f>HYPERLINK("https://stem-supplies.com/stem-resources/funding?srsltid=AfmBOoqVYNsvNuGzUuLjHCtC84KR0S5G4NwR7XS1a3nxXcx7B9WlMij1","https://stem-supplies.com/stem-resources/funding?srsltid=AfmBOoqVYNsvNuGzUuLjHCtC84KR0S5G4NwR7XS1a3nxXcx7B9WlMij1")</f>
        <v>https://stem-supplies.com/stem-resources/funding?srsltid=AfmBOoqVYNsvNuGzUuLjHCtC84KR0S5G4NwR7XS1a3nxXcx7B9WlMij1</v>
      </c>
    </row>
    <row r="535" spans="1:4" x14ac:dyDescent="0.25">
      <c r="A535" t="s">
        <v>104</v>
      </c>
      <c r="B535" t="s">
        <v>519</v>
      </c>
      <c r="C535" t="s">
        <v>535</v>
      </c>
      <c r="D535" t="str">
        <f>HYPERLINK("https://link.springer.com/article/10.1007/s11528-016-0052-5","https://link.springer.com/article/10.1007/s11528-016-0052-5")</f>
        <v>https://link.springer.com/article/10.1007/s11528-016-0052-5</v>
      </c>
    </row>
    <row r="536" spans="1:4" x14ac:dyDescent="0.25">
      <c r="A536" t="s">
        <v>104</v>
      </c>
      <c r="B536" t="s">
        <v>519</v>
      </c>
      <c r="C536" t="s">
        <v>538</v>
      </c>
      <c r="D536" t="str">
        <f>HYPERLINK("https://onlinelibrary.wiley.com/doi/abs/10.1111/ssm.12172","https://onlinelibrary.wiley.com/doi/abs/10.1111/ssm.12172")</f>
        <v>https://onlinelibrary.wiley.com/doi/abs/10.1111/ssm.12172</v>
      </c>
    </row>
    <row r="537" spans="1:4" x14ac:dyDescent="0.25">
      <c r="A537" t="s">
        <v>104</v>
      </c>
      <c r="B537" t="s">
        <v>519</v>
      </c>
      <c r="C537" t="s">
        <v>539</v>
      </c>
      <c r="D537" t="str">
        <f>HYPERLINK("https://eric.ed.gov/?id=EJ987621","https://eric.ed.gov/?id=EJ987621")</f>
        <v>https://eric.ed.gov/?id=EJ987621</v>
      </c>
    </row>
    <row r="538" spans="1:4" x14ac:dyDescent="0.25">
      <c r="A538" t="s">
        <v>104</v>
      </c>
      <c r="B538" t="s">
        <v>519</v>
      </c>
      <c r="C538" t="s">
        <v>531</v>
      </c>
      <c r="D538" t="str">
        <f>HYPERLINK("https://eric.ed.gov/?id=EJ1344314","https://eric.ed.gov/?id=EJ1344314")</f>
        <v>https://eric.ed.gov/?id=EJ1344314</v>
      </c>
    </row>
    <row r="539" spans="1:4" x14ac:dyDescent="0.25">
      <c r="A539" t="s">
        <v>104</v>
      </c>
      <c r="B539" t="s">
        <v>519</v>
      </c>
      <c r="C539" t="s">
        <v>521</v>
      </c>
      <c r="D539" t="str">
        <f>HYPERLINK("https://www.ed.gov/about/news/press-release/us-department-of-education-announces-grant-opportunities-to-address-educator-recruitment-retention-and-career-advancement","https://www.ed.gov/about/news/press-release/us-department-of-education-announces-grant-opportunities-to-address-educator-recruitment-retention-and-career-advancement")</f>
        <v>https://www.ed.gov/about/news/press-release/us-department-of-education-announces-grant-opportunities-to-address-educator-recruitment-retention-and-career-advancement</v>
      </c>
    </row>
    <row r="540" spans="1:4" x14ac:dyDescent="0.25">
      <c r="A540" t="s">
        <v>104</v>
      </c>
      <c r="B540" t="s">
        <v>519</v>
      </c>
      <c r="C540" t="s">
        <v>529</v>
      </c>
      <c r="D540" t="str">
        <f>HYPERLINK("https://www.ingentaconnect.com/content/prin/ed/2013/00000133/00000003/art00010","https://www.ingentaconnect.com/content/prin/ed/2013/00000133/00000003/art00010")</f>
        <v>https://www.ingentaconnect.com/content/prin/ed/2013/00000133/00000003/art00010</v>
      </c>
    </row>
    <row r="541" spans="1:4" x14ac:dyDescent="0.25">
      <c r="A541" t="s">
        <v>104</v>
      </c>
      <c r="B541" t="s">
        <v>519</v>
      </c>
      <c r="C541" t="s">
        <v>526</v>
      </c>
      <c r="D541" t="str">
        <f>HYPERLINK("https://www.pltw.org/blog/what-are-stem-grants","https://www.pltw.org/blog/what-are-stem-grants")</f>
        <v>https://www.pltw.org/blog/what-are-stem-grants</v>
      </c>
    </row>
    <row r="542" spans="1:4" x14ac:dyDescent="0.25">
      <c r="A542" t="s">
        <v>104</v>
      </c>
      <c r="B542" t="s">
        <v>519</v>
      </c>
      <c r="C542" t="s">
        <v>524</v>
      </c>
      <c r="D542" t="str">
        <f>HYPERLINK("https://www.gov.uk/government/news/teachers-to-get-up-to-6000-extra-to-teach-vital-subjects","https://www.gov.uk/government/news/teachers-to-get-up-to-6000-extra-to-teach-vital-subjects")</f>
        <v>https://www.gov.uk/government/news/teachers-to-get-up-to-6000-extra-to-teach-vital-subjects</v>
      </c>
    </row>
  </sheetData>
  <sortState xmlns:xlrd2="http://schemas.microsoft.com/office/spreadsheetml/2017/richdata2" ref="A2:F542">
    <sortCondition ref="B2:B542"/>
    <sortCondition ref="C2:C542"/>
  </sortState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96"/>
  <sheetViews>
    <sheetView workbookViewId="0"/>
  </sheetViews>
  <sheetFormatPr defaultRowHeight="15" x14ac:dyDescent="0.25"/>
  <sheetData>
    <row r="1" spans="1:8" x14ac:dyDescent="0.25">
      <c r="A1" s="1" t="s">
        <v>578</v>
      </c>
      <c r="B1" s="1" t="s">
        <v>579</v>
      </c>
      <c r="C1" s="1" t="s">
        <v>580</v>
      </c>
      <c r="D1" s="1" t="s">
        <v>581</v>
      </c>
      <c r="E1" s="1" t="s">
        <v>582</v>
      </c>
      <c r="F1" s="1" t="s">
        <v>583</v>
      </c>
      <c r="G1" s="1" t="s">
        <v>584</v>
      </c>
      <c r="H1" s="1" t="s">
        <v>585</v>
      </c>
    </row>
    <row r="2" spans="1:8" x14ac:dyDescent="0.25">
      <c r="A2" t="s">
        <v>4</v>
      </c>
      <c r="B2">
        <v>20</v>
      </c>
      <c r="C2" t="s">
        <v>5</v>
      </c>
      <c r="D2" t="s">
        <v>586</v>
      </c>
      <c r="E2">
        <v>3</v>
      </c>
      <c r="F2">
        <v>20</v>
      </c>
      <c r="G2">
        <v>20</v>
      </c>
      <c r="H2">
        <v>0</v>
      </c>
    </row>
    <row r="3" spans="1:8" x14ac:dyDescent="0.25">
      <c r="A3" t="s">
        <v>20</v>
      </c>
      <c r="B3">
        <v>20</v>
      </c>
      <c r="C3" t="s">
        <v>5</v>
      </c>
      <c r="D3" t="s">
        <v>587</v>
      </c>
      <c r="E3">
        <v>3</v>
      </c>
      <c r="F3">
        <v>29</v>
      </c>
      <c r="G3">
        <v>29</v>
      </c>
      <c r="H3">
        <v>0</v>
      </c>
    </row>
    <row r="4" spans="1:8" x14ac:dyDescent="0.25">
      <c r="A4" t="s">
        <v>27</v>
      </c>
      <c r="B4">
        <v>20</v>
      </c>
      <c r="C4" t="s">
        <v>5</v>
      </c>
      <c r="D4" t="s">
        <v>588</v>
      </c>
      <c r="E4">
        <v>3</v>
      </c>
      <c r="F4">
        <v>29</v>
      </c>
      <c r="G4">
        <v>29</v>
      </c>
      <c r="H4">
        <v>0</v>
      </c>
    </row>
    <row r="5" spans="1:8" x14ac:dyDescent="0.25">
      <c r="A5" t="s">
        <v>4</v>
      </c>
      <c r="B5">
        <v>25</v>
      </c>
      <c r="C5" t="s">
        <v>45</v>
      </c>
      <c r="D5" t="s">
        <v>589</v>
      </c>
      <c r="E5">
        <v>3</v>
      </c>
      <c r="F5">
        <v>21</v>
      </c>
      <c r="G5">
        <v>21</v>
      </c>
      <c r="H5">
        <v>0</v>
      </c>
    </row>
    <row r="6" spans="1:8" x14ac:dyDescent="0.25">
      <c r="A6" t="s">
        <v>20</v>
      </c>
      <c r="B6">
        <v>25</v>
      </c>
      <c r="C6" t="s">
        <v>45</v>
      </c>
      <c r="D6" t="s">
        <v>590</v>
      </c>
      <c r="E6">
        <v>3</v>
      </c>
      <c r="F6">
        <v>29</v>
      </c>
      <c r="G6">
        <v>29</v>
      </c>
      <c r="H6">
        <v>0</v>
      </c>
    </row>
    <row r="7" spans="1:8" x14ac:dyDescent="0.25">
      <c r="A7" t="s">
        <v>27</v>
      </c>
      <c r="B7">
        <v>25</v>
      </c>
      <c r="C7" t="s">
        <v>45</v>
      </c>
      <c r="D7" t="s">
        <v>591</v>
      </c>
      <c r="E7">
        <v>3</v>
      </c>
      <c r="F7">
        <v>30</v>
      </c>
      <c r="G7">
        <v>30</v>
      </c>
      <c r="H7">
        <v>0</v>
      </c>
    </row>
    <row r="8" spans="1:8" x14ac:dyDescent="0.25">
      <c r="A8" t="s">
        <v>52</v>
      </c>
      <c r="B8">
        <v>25</v>
      </c>
      <c r="C8" t="s">
        <v>45</v>
      </c>
      <c r="D8" t="s">
        <v>592</v>
      </c>
      <c r="E8">
        <v>3</v>
      </c>
      <c r="F8">
        <v>60</v>
      </c>
      <c r="G8">
        <v>60</v>
      </c>
      <c r="H8">
        <v>0</v>
      </c>
    </row>
    <row r="9" spans="1:8" x14ac:dyDescent="0.25">
      <c r="A9" t="s">
        <v>54</v>
      </c>
      <c r="B9">
        <v>25</v>
      </c>
      <c r="C9" t="s">
        <v>45</v>
      </c>
      <c r="D9" t="s">
        <v>593</v>
      </c>
      <c r="E9">
        <v>3</v>
      </c>
      <c r="F9">
        <v>32</v>
      </c>
      <c r="G9">
        <v>32</v>
      </c>
      <c r="H9">
        <v>0</v>
      </c>
    </row>
    <row r="10" spans="1:8" x14ac:dyDescent="0.25">
      <c r="A10" t="s">
        <v>56</v>
      </c>
      <c r="B10">
        <v>25</v>
      </c>
      <c r="C10" t="s">
        <v>45</v>
      </c>
      <c r="D10" t="s">
        <v>594</v>
      </c>
      <c r="E10">
        <v>3</v>
      </c>
      <c r="F10">
        <v>21</v>
      </c>
      <c r="G10">
        <v>21</v>
      </c>
      <c r="H10">
        <v>0</v>
      </c>
    </row>
    <row r="11" spans="1:8" x14ac:dyDescent="0.25">
      <c r="A11" t="s">
        <v>58</v>
      </c>
      <c r="B11">
        <v>25</v>
      </c>
      <c r="C11" t="s">
        <v>45</v>
      </c>
      <c r="D11" t="s">
        <v>595</v>
      </c>
      <c r="E11">
        <v>3</v>
      </c>
      <c r="F11">
        <v>23</v>
      </c>
      <c r="G11">
        <v>23</v>
      </c>
      <c r="H11">
        <v>0</v>
      </c>
    </row>
    <row r="12" spans="1:8" x14ac:dyDescent="0.25">
      <c r="A12" t="s">
        <v>596</v>
      </c>
      <c r="B12">
        <v>25</v>
      </c>
      <c r="C12" t="s">
        <v>45</v>
      </c>
      <c r="D12" t="s">
        <v>597</v>
      </c>
      <c r="E12">
        <v>0</v>
      </c>
      <c r="F12">
        <v>0</v>
      </c>
      <c r="G12">
        <v>0</v>
      </c>
      <c r="H12">
        <v>0</v>
      </c>
    </row>
    <row r="13" spans="1:8" x14ac:dyDescent="0.25">
      <c r="A13" t="s">
        <v>596</v>
      </c>
      <c r="B13">
        <v>25</v>
      </c>
      <c r="C13" t="s">
        <v>45</v>
      </c>
      <c r="D13" t="s">
        <v>598</v>
      </c>
      <c r="E13">
        <v>0</v>
      </c>
      <c r="F13">
        <v>0</v>
      </c>
      <c r="G13">
        <v>0</v>
      </c>
      <c r="H13">
        <v>0</v>
      </c>
    </row>
    <row r="14" spans="1:8" x14ac:dyDescent="0.25">
      <c r="A14" t="s">
        <v>60</v>
      </c>
      <c r="B14">
        <v>25</v>
      </c>
      <c r="C14" t="s">
        <v>45</v>
      </c>
      <c r="D14" t="s">
        <v>599</v>
      </c>
      <c r="E14">
        <v>3</v>
      </c>
      <c r="F14">
        <v>20</v>
      </c>
      <c r="G14">
        <v>20</v>
      </c>
      <c r="H14">
        <v>0</v>
      </c>
    </row>
    <row r="15" spans="1:8" x14ac:dyDescent="0.25">
      <c r="A15" t="s">
        <v>61</v>
      </c>
      <c r="B15">
        <v>25</v>
      </c>
      <c r="C15" t="s">
        <v>45</v>
      </c>
      <c r="D15" t="s">
        <v>599</v>
      </c>
      <c r="E15">
        <v>0</v>
      </c>
      <c r="F15">
        <v>15</v>
      </c>
      <c r="G15">
        <v>15</v>
      </c>
      <c r="H15">
        <v>0</v>
      </c>
    </row>
    <row r="16" spans="1:8" x14ac:dyDescent="0.25">
      <c r="A16" t="s">
        <v>62</v>
      </c>
      <c r="B16">
        <v>25</v>
      </c>
      <c r="C16" t="s">
        <v>45</v>
      </c>
      <c r="D16" t="s">
        <v>600</v>
      </c>
      <c r="E16">
        <v>3</v>
      </c>
      <c r="F16">
        <v>59</v>
      </c>
      <c r="G16">
        <v>59</v>
      </c>
      <c r="H16">
        <v>0</v>
      </c>
    </row>
    <row r="17" spans="1:8" x14ac:dyDescent="0.25">
      <c r="A17" t="s">
        <v>63</v>
      </c>
      <c r="B17">
        <v>25</v>
      </c>
      <c r="C17" t="s">
        <v>45</v>
      </c>
      <c r="D17" t="s">
        <v>601</v>
      </c>
      <c r="E17">
        <v>3</v>
      </c>
      <c r="F17">
        <v>26</v>
      </c>
      <c r="G17">
        <v>26</v>
      </c>
      <c r="H17">
        <v>0</v>
      </c>
    </row>
    <row r="18" spans="1:8" x14ac:dyDescent="0.25">
      <c r="A18" t="s">
        <v>66</v>
      </c>
      <c r="B18">
        <v>25</v>
      </c>
      <c r="C18" t="s">
        <v>45</v>
      </c>
      <c r="D18" t="s">
        <v>602</v>
      </c>
      <c r="E18">
        <v>3</v>
      </c>
      <c r="F18">
        <v>30</v>
      </c>
      <c r="G18">
        <v>30</v>
      </c>
      <c r="H18">
        <v>0</v>
      </c>
    </row>
    <row r="19" spans="1:8" x14ac:dyDescent="0.25">
      <c r="A19" t="s">
        <v>67</v>
      </c>
      <c r="B19">
        <v>25</v>
      </c>
      <c r="C19" t="s">
        <v>45</v>
      </c>
      <c r="D19" t="s">
        <v>603</v>
      </c>
      <c r="E19">
        <v>3</v>
      </c>
      <c r="F19">
        <v>30</v>
      </c>
      <c r="G19">
        <v>30</v>
      </c>
      <c r="H19">
        <v>0</v>
      </c>
    </row>
    <row r="20" spans="1:8" x14ac:dyDescent="0.25">
      <c r="A20" t="s">
        <v>4</v>
      </c>
      <c r="B20">
        <v>25</v>
      </c>
      <c r="C20" t="s">
        <v>69</v>
      </c>
      <c r="D20" t="s">
        <v>604</v>
      </c>
      <c r="E20">
        <v>3</v>
      </c>
      <c r="F20">
        <v>21</v>
      </c>
      <c r="G20">
        <v>21</v>
      </c>
      <c r="H20">
        <v>0</v>
      </c>
    </row>
    <row r="21" spans="1:8" x14ac:dyDescent="0.25">
      <c r="A21" t="s">
        <v>20</v>
      </c>
      <c r="B21">
        <v>25</v>
      </c>
      <c r="C21" t="s">
        <v>69</v>
      </c>
      <c r="D21" t="s">
        <v>605</v>
      </c>
      <c r="E21">
        <v>3</v>
      </c>
      <c r="F21">
        <v>29</v>
      </c>
      <c r="G21">
        <v>29</v>
      </c>
      <c r="H21">
        <v>0</v>
      </c>
    </row>
    <row r="22" spans="1:8" x14ac:dyDescent="0.25">
      <c r="A22" t="s">
        <v>27</v>
      </c>
      <c r="B22">
        <v>25</v>
      </c>
      <c r="C22" t="s">
        <v>69</v>
      </c>
      <c r="D22" t="s">
        <v>606</v>
      </c>
      <c r="E22">
        <v>3</v>
      </c>
      <c r="F22">
        <v>20</v>
      </c>
      <c r="G22">
        <v>20</v>
      </c>
      <c r="H22">
        <v>0</v>
      </c>
    </row>
    <row r="23" spans="1:8" x14ac:dyDescent="0.25">
      <c r="A23" t="s">
        <v>52</v>
      </c>
      <c r="B23">
        <v>25</v>
      </c>
      <c r="C23" t="s">
        <v>69</v>
      </c>
      <c r="D23" t="s">
        <v>601</v>
      </c>
      <c r="E23">
        <v>3</v>
      </c>
      <c r="F23">
        <v>60</v>
      </c>
      <c r="G23">
        <v>60</v>
      </c>
      <c r="H23">
        <v>0</v>
      </c>
    </row>
    <row r="24" spans="1:8" x14ac:dyDescent="0.25">
      <c r="A24" t="s">
        <v>54</v>
      </c>
      <c r="B24">
        <v>25</v>
      </c>
      <c r="C24" t="s">
        <v>69</v>
      </c>
      <c r="D24" t="s">
        <v>595</v>
      </c>
      <c r="E24">
        <v>3</v>
      </c>
      <c r="F24">
        <v>31</v>
      </c>
      <c r="G24">
        <v>31</v>
      </c>
      <c r="H24">
        <v>0</v>
      </c>
    </row>
    <row r="25" spans="1:8" x14ac:dyDescent="0.25">
      <c r="A25" t="s">
        <v>56</v>
      </c>
      <c r="B25">
        <v>25</v>
      </c>
      <c r="C25" t="s">
        <v>69</v>
      </c>
      <c r="D25" t="s">
        <v>604</v>
      </c>
      <c r="E25">
        <v>3</v>
      </c>
      <c r="F25">
        <v>19</v>
      </c>
      <c r="G25">
        <v>19</v>
      </c>
      <c r="H25">
        <v>0</v>
      </c>
    </row>
    <row r="26" spans="1:8" x14ac:dyDescent="0.25">
      <c r="A26" t="s">
        <v>58</v>
      </c>
      <c r="B26">
        <v>25</v>
      </c>
      <c r="C26" t="s">
        <v>69</v>
      </c>
      <c r="D26" t="s">
        <v>607</v>
      </c>
      <c r="E26">
        <v>3</v>
      </c>
      <c r="F26">
        <v>24</v>
      </c>
      <c r="G26">
        <v>24</v>
      </c>
      <c r="H26">
        <v>0</v>
      </c>
    </row>
    <row r="27" spans="1:8" x14ac:dyDescent="0.25">
      <c r="A27" t="s">
        <v>596</v>
      </c>
      <c r="B27">
        <v>25</v>
      </c>
      <c r="C27" t="s">
        <v>69</v>
      </c>
      <c r="D27" t="s">
        <v>608</v>
      </c>
      <c r="E27">
        <v>0</v>
      </c>
      <c r="F27">
        <v>0</v>
      </c>
      <c r="G27">
        <v>0</v>
      </c>
      <c r="H27">
        <v>0</v>
      </c>
    </row>
    <row r="28" spans="1:8" x14ac:dyDescent="0.25">
      <c r="A28" t="s">
        <v>596</v>
      </c>
      <c r="B28">
        <v>25</v>
      </c>
      <c r="C28" t="s">
        <v>69</v>
      </c>
      <c r="D28" t="s">
        <v>588</v>
      </c>
      <c r="E28">
        <v>0</v>
      </c>
      <c r="F28">
        <v>0</v>
      </c>
      <c r="G28">
        <v>0</v>
      </c>
      <c r="H28">
        <v>0</v>
      </c>
    </row>
    <row r="29" spans="1:8" x14ac:dyDescent="0.25">
      <c r="A29" t="s">
        <v>60</v>
      </c>
      <c r="B29">
        <v>25</v>
      </c>
      <c r="C29" t="s">
        <v>69</v>
      </c>
      <c r="D29" t="s">
        <v>609</v>
      </c>
      <c r="E29">
        <v>3</v>
      </c>
      <c r="F29">
        <v>18</v>
      </c>
      <c r="G29">
        <v>18</v>
      </c>
      <c r="H29">
        <v>0</v>
      </c>
    </row>
    <row r="30" spans="1:8" x14ac:dyDescent="0.25">
      <c r="A30" t="s">
        <v>61</v>
      </c>
      <c r="B30">
        <v>25</v>
      </c>
      <c r="C30" t="s">
        <v>69</v>
      </c>
      <c r="D30" t="s">
        <v>606</v>
      </c>
      <c r="E30">
        <v>0</v>
      </c>
      <c r="F30">
        <v>15</v>
      </c>
      <c r="G30">
        <v>15</v>
      </c>
      <c r="H30">
        <v>0</v>
      </c>
    </row>
    <row r="31" spans="1:8" x14ac:dyDescent="0.25">
      <c r="A31" t="s">
        <v>62</v>
      </c>
      <c r="B31">
        <v>25</v>
      </c>
      <c r="C31" t="s">
        <v>69</v>
      </c>
      <c r="D31" t="s">
        <v>610</v>
      </c>
      <c r="E31">
        <v>3</v>
      </c>
      <c r="F31">
        <v>58</v>
      </c>
      <c r="G31">
        <v>58</v>
      </c>
      <c r="H31">
        <v>0</v>
      </c>
    </row>
    <row r="32" spans="1:8" x14ac:dyDescent="0.25">
      <c r="A32" t="s">
        <v>63</v>
      </c>
      <c r="B32">
        <v>25</v>
      </c>
      <c r="C32" t="s">
        <v>69</v>
      </c>
      <c r="D32" t="s">
        <v>611</v>
      </c>
      <c r="E32">
        <v>3</v>
      </c>
      <c r="F32">
        <v>28</v>
      </c>
      <c r="G32">
        <v>28</v>
      </c>
      <c r="H32">
        <v>0</v>
      </c>
    </row>
    <row r="33" spans="1:8" x14ac:dyDescent="0.25">
      <c r="A33" t="s">
        <v>66</v>
      </c>
      <c r="B33">
        <v>25</v>
      </c>
      <c r="C33" t="s">
        <v>69</v>
      </c>
      <c r="D33" t="s">
        <v>612</v>
      </c>
      <c r="E33">
        <v>3</v>
      </c>
      <c r="F33">
        <v>29</v>
      </c>
      <c r="G33">
        <v>29</v>
      </c>
      <c r="H33">
        <v>0</v>
      </c>
    </row>
    <row r="34" spans="1:8" x14ac:dyDescent="0.25">
      <c r="A34" t="s">
        <v>67</v>
      </c>
      <c r="B34">
        <v>25</v>
      </c>
      <c r="C34" t="s">
        <v>69</v>
      </c>
      <c r="D34" t="s">
        <v>613</v>
      </c>
      <c r="E34">
        <v>3</v>
      </c>
      <c r="F34">
        <v>29</v>
      </c>
      <c r="G34">
        <v>29</v>
      </c>
      <c r="H34">
        <v>0</v>
      </c>
    </row>
    <row r="35" spans="1:8" x14ac:dyDescent="0.25">
      <c r="A35" t="s">
        <v>4</v>
      </c>
      <c r="B35">
        <v>25</v>
      </c>
      <c r="C35" t="s">
        <v>81</v>
      </c>
      <c r="D35" t="s">
        <v>614</v>
      </c>
      <c r="E35">
        <v>3</v>
      </c>
      <c r="F35">
        <v>21</v>
      </c>
      <c r="G35">
        <v>21</v>
      </c>
      <c r="H35">
        <v>0</v>
      </c>
    </row>
    <row r="36" spans="1:8" x14ac:dyDescent="0.25">
      <c r="A36" t="s">
        <v>20</v>
      </c>
      <c r="B36">
        <v>25</v>
      </c>
      <c r="C36" t="s">
        <v>81</v>
      </c>
      <c r="D36" t="s">
        <v>615</v>
      </c>
      <c r="E36">
        <v>3</v>
      </c>
      <c r="F36">
        <v>29</v>
      </c>
      <c r="G36">
        <v>29</v>
      </c>
      <c r="H36">
        <v>0</v>
      </c>
    </row>
    <row r="37" spans="1:8" x14ac:dyDescent="0.25">
      <c r="A37" t="s">
        <v>27</v>
      </c>
      <c r="B37">
        <v>25</v>
      </c>
      <c r="C37" t="s">
        <v>81</v>
      </c>
      <c r="D37" t="s">
        <v>616</v>
      </c>
      <c r="E37">
        <v>3</v>
      </c>
      <c r="F37">
        <v>30</v>
      </c>
      <c r="G37">
        <v>30</v>
      </c>
      <c r="H37">
        <v>0</v>
      </c>
    </row>
    <row r="38" spans="1:8" x14ac:dyDescent="0.25">
      <c r="A38" t="s">
        <v>52</v>
      </c>
      <c r="B38">
        <v>25</v>
      </c>
      <c r="C38" t="s">
        <v>81</v>
      </c>
      <c r="D38" t="s">
        <v>587</v>
      </c>
      <c r="E38">
        <v>3</v>
      </c>
      <c r="F38">
        <v>59</v>
      </c>
      <c r="G38">
        <v>59</v>
      </c>
      <c r="H38">
        <v>0</v>
      </c>
    </row>
    <row r="39" spans="1:8" x14ac:dyDescent="0.25">
      <c r="A39" t="s">
        <v>54</v>
      </c>
      <c r="B39">
        <v>25</v>
      </c>
      <c r="C39" t="s">
        <v>81</v>
      </c>
      <c r="D39" t="s">
        <v>617</v>
      </c>
      <c r="E39">
        <v>3</v>
      </c>
      <c r="F39">
        <v>31</v>
      </c>
      <c r="G39">
        <v>31</v>
      </c>
      <c r="H39">
        <v>0</v>
      </c>
    </row>
    <row r="40" spans="1:8" x14ac:dyDescent="0.25">
      <c r="A40" t="s">
        <v>56</v>
      </c>
      <c r="B40">
        <v>25</v>
      </c>
      <c r="C40" t="s">
        <v>81</v>
      </c>
      <c r="D40" t="s">
        <v>618</v>
      </c>
      <c r="E40">
        <v>3</v>
      </c>
      <c r="F40">
        <v>19</v>
      </c>
      <c r="G40">
        <v>19</v>
      </c>
      <c r="H40">
        <v>0</v>
      </c>
    </row>
    <row r="41" spans="1:8" x14ac:dyDescent="0.25">
      <c r="A41" t="s">
        <v>58</v>
      </c>
      <c r="B41">
        <v>25</v>
      </c>
      <c r="C41" t="s">
        <v>81</v>
      </c>
      <c r="D41" t="s">
        <v>619</v>
      </c>
      <c r="E41">
        <v>3</v>
      </c>
      <c r="F41">
        <v>24</v>
      </c>
      <c r="G41">
        <v>24</v>
      </c>
      <c r="H41">
        <v>0</v>
      </c>
    </row>
    <row r="42" spans="1:8" x14ac:dyDescent="0.25">
      <c r="A42" t="s">
        <v>596</v>
      </c>
      <c r="B42">
        <v>25</v>
      </c>
      <c r="C42" t="s">
        <v>81</v>
      </c>
      <c r="D42" t="s">
        <v>620</v>
      </c>
      <c r="E42">
        <v>0</v>
      </c>
      <c r="F42">
        <v>0</v>
      </c>
      <c r="G42">
        <v>0</v>
      </c>
      <c r="H42">
        <v>0</v>
      </c>
    </row>
    <row r="43" spans="1:8" x14ac:dyDescent="0.25">
      <c r="A43" t="s">
        <v>596</v>
      </c>
      <c r="B43">
        <v>25</v>
      </c>
      <c r="C43" t="s">
        <v>81</v>
      </c>
      <c r="D43" t="s">
        <v>621</v>
      </c>
      <c r="E43">
        <v>0</v>
      </c>
      <c r="F43">
        <v>0</v>
      </c>
      <c r="G43">
        <v>0</v>
      </c>
      <c r="H43">
        <v>0</v>
      </c>
    </row>
    <row r="44" spans="1:8" x14ac:dyDescent="0.25">
      <c r="A44" t="s">
        <v>60</v>
      </c>
      <c r="B44">
        <v>25</v>
      </c>
      <c r="C44" t="s">
        <v>81</v>
      </c>
      <c r="D44" t="s">
        <v>616</v>
      </c>
      <c r="E44">
        <v>3</v>
      </c>
      <c r="F44">
        <v>20</v>
      </c>
      <c r="G44">
        <v>20</v>
      </c>
      <c r="H44">
        <v>0</v>
      </c>
    </row>
    <row r="45" spans="1:8" x14ac:dyDescent="0.25">
      <c r="A45" t="s">
        <v>61</v>
      </c>
      <c r="B45">
        <v>25</v>
      </c>
      <c r="C45" t="s">
        <v>81</v>
      </c>
      <c r="D45" t="s">
        <v>606</v>
      </c>
      <c r="E45">
        <v>0</v>
      </c>
      <c r="F45">
        <v>15</v>
      </c>
      <c r="G45">
        <v>15</v>
      </c>
      <c r="H45">
        <v>0</v>
      </c>
    </row>
    <row r="46" spans="1:8" x14ac:dyDescent="0.25">
      <c r="A46" t="s">
        <v>62</v>
      </c>
      <c r="B46">
        <v>25</v>
      </c>
      <c r="C46" t="s">
        <v>81</v>
      </c>
      <c r="D46" t="s">
        <v>587</v>
      </c>
      <c r="E46">
        <v>3</v>
      </c>
      <c r="F46">
        <v>58</v>
      </c>
      <c r="G46">
        <v>58</v>
      </c>
      <c r="H46">
        <v>0</v>
      </c>
    </row>
    <row r="47" spans="1:8" x14ac:dyDescent="0.25">
      <c r="A47" t="s">
        <v>63</v>
      </c>
      <c r="B47">
        <v>25</v>
      </c>
      <c r="C47" t="s">
        <v>81</v>
      </c>
      <c r="D47" t="s">
        <v>622</v>
      </c>
      <c r="E47">
        <v>3</v>
      </c>
      <c r="F47">
        <v>30</v>
      </c>
      <c r="G47">
        <v>30</v>
      </c>
      <c r="H47">
        <v>0</v>
      </c>
    </row>
    <row r="48" spans="1:8" x14ac:dyDescent="0.25">
      <c r="A48" t="s">
        <v>66</v>
      </c>
      <c r="B48">
        <v>25</v>
      </c>
      <c r="C48" t="s">
        <v>81</v>
      </c>
      <c r="D48" t="s">
        <v>588</v>
      </c>
      <c r="E48">
        <v>3</v>
      </c>
      <c r="F48">
        <v>30</v>
      </c>
      <c r="G48">
        <v>30</v>
      </c>
      <c r="H48">
        <v>0</v>
      </c>
    </row>
    <row r="49" spans="1:8" x14ac:dyDescent="0.25">
      <c r="A49" t="s">
        <v>67</v>
      </c>
      <c r="B49">
        <v>25</v>
      </c>
      <c r="C49" t="s">
        <v>81</v>
      </c>
      <c r="D49" t="s">
        <v>623</v>
      </c>
      <c r="E49">
        <v>3</v>
      </c>
      <c r="F49">
        <v>30</v>
      </c>
      <c r="G49">
        <v>30</v>
      </c>
      <c r="H49">
        <v>0</v>
      </c>
    </row>
    <row r="50" spans="1:8" x14ac:dyDescent="0.25">
      <c r="A50" t="s">
        <v>4</v>
      </c>
      <c r="B50">
        <v>25</v>
      </c>
      <c r="C50" t="s">
        <v>83</v>
      </c>
      <c r="D50" t="s">
        <v>624</v>
      </c>
      <c r="E50">
        <v>3</v>
      </c>
      <c r="F50">
        <v>21</v>
      </c>
      <c r="G50">
        <v>21</v>
      </c>
      <c r="H50">
        <v>0</v>
      </c>
    </row>
    <row r="51" spans="1:8" x14ac:dyDescent="0.25">
      <c r="A51" t="s">
        <v>20</v>
      </c>
      <c r="B51">
        <v>25</v>
      </c>
      <c r="C51" t="s">
        <v>83</v>
      </c>
      <c r="D51" t="s">
        <v>625</v>
      </c>
      <c r="E51">
        <v>3</v>
      </c>
      <c r="F51">
        <v>30</v>
      </c>
      <c r="G51">
        <v>30</v>
      </c>
      <c r="H51">
        <v>0</v>
      </c>
    </row>
    <row r="52" spans="1:8" x14ac:dyDescent="0.25">
      <c r="A52" t="s">
        <v>27</v>
      </c>
      <c r="B52">
        <v>25</v>
      </c>
      <c r="C52" t="s">
        <v>83</v>
      </c>
      <c r="D52" t="s">
        <v>626</v>
      </c>
      <c r="E52">
        <v>3</v>
      </c>
      <c r="F52">
        <v>30</v>
      </c>
      <c r="G52">
        <v>30</v>
      </c>
      <c r="H52">
        <v>0</v>
      </c>
    </row>
    <row r="53" spans="1:8" x14ac:dyDescent="0.25">
      <c r="A53" t="s">
        <v>52</v>
      </c>
      <c r="B53">
        <v>25</v>
      </c>
      <c r="C53" t="s">
        <v>83</v>
      </c>
      <c r="D53" t="s">
        <v>589</v>
      </c>
      <c r="E53">
        <v>3</v>
      </c>
      <c r="F53">
        <v>60</v>
      </c>
      <c r="G53">
        <v>60</v>
      </c>
      <c r="H53">
        <v>0</v>
      </c>
    </row>
    <row r="54" spans="1:8" x14ac:dyDescent="0.25">
      <c r="A54" t="s">
        <v>54</v>
      </c>
      <c r="B54">
        <v>25</v>
      </c>
      <c r="C54" t="s">
        <v>83</v>
      </c>
      <c r="D54" t="s">
        <v>627</v>
      </c>
      <c r="E54">
        <v>3</v>
      </c>
      <c r="F54">
        <v>32</v>
      </c>
      <c r="G54">
        <v>32</v>
      </c>
      <c r="H54">
        <v>0</v>
      </c>
    </row>
    <row r="55" spans="1:8" x14ac:dyDescent="0.25">
      <c r="A55" t="s">
        <v>56</v>
      </c>
      <c r="B55">
        <v>25</v>
      </c>
      <c r="C55" t="s">
        <v>83</v>
      </c>
      <c r="D55" t="s">
        <v>628</v>
      </c>
      <c r="E55">
        <v>3</v>
      </c>
      <c r="F55">
        <v>21</v>
      </c>
      <c r="G55">
        <v>21</v>
      </c>
      <c r="H55">
        <v>0</v>
      </c>
    </row>
    <row r="56" spans="1:8" x14ac:dyDescent="0.25">
      <c r="A56" t="s">
        <v>58</v>
      </c>
      <c r="B56">
        <v>25</v>
      </c>
      <c r="C56" t="s">
        <v>83</v>
      </c>
      <c r="D56" t="s">
        <v>586</v>
      </c>
      <c r="E56">
        <v>3</v>
      </c>
      <c r="F56">
        <v>24</v>
      </c>
      <c r="G56">
        <v>24</v>
      </c>
      <c r="H56">
        <v>0</v>
      </c>
    </row>
    <row r="57" spans="1:8" x14ac:dyDescent="0.25">
      <c r="A57" t="s">
        <v>596</v>
      </c>
      <c r="B57">
        <v>25</v>
      </c>
      <c r="C57" t="s">
        <v>83</v>
      </c>
      <c r="D57" t="s">
        <v>629</v>
      </c>
      <c r="E57">
        <v>0</v>
      </c>
      <c r="F57">
        <v>0</v>
      </c>
      <c r="G57">
        <v>0</v>
      </c>
      <c r="H57">
        <v>0</v>
      </c>
    </row>
    <row r="58" spans="1:8" x14ac:dyDescent="0.25">
      <c r="A58" t="s">
        <v>596</v>
      </c>
      <c r="B58">
        <v>25</v>
      </c>
      <c r="C58" t="s">
        <v>83</v>
      </c>
      <c r="D58" t="s">
        <v>630</v>
      </c>
      <c r="E58">
        <v>0</v>
      </c>
      <c r="F58">
        <v>0</v>
      </c>
      <c r="G58">
        <v>0</v>
      </c>
      <c r="H58">
        <v>0</v>
      </c>
    </row>
    <row r="59" spans="1:8" x14ac:dyDescent="0.25">
      <c r="A59" t="s">
        <v>61</v>
      </c>
      <c r="B59">
        <v>25</v>
      </c>
      <c r="C59" t="s">
        <v>83</v>
      </c>
      <c r="D59" t="s">
        <v>631</v>
      </c>
      <c r="E59">
        <v>0</v>
      </c>
      <c r="F59">
        <v>15</v>
      </c>
      <c r="G59">
        <v>15</v>
      </c>
      <c r="H59">
        <v>0</v>
      </c>
    </row>
    <row r="60" spans="1:8" x14ac:dyDescent="0.25">
      <c r="A60" t="s">
        <v>62</v>
      </c>
      <c r="B60">
        <v>25</v>
      </c>
      <c r="C60" t="s">
        <v>83</v>
      </c>
      <c r="D60" t="s">
        <v>632</v>
      </c>
      <c r="E60">
        <v>3</v>
      </c>
      <c r="F60">
        <v>60</v>
      </c>
      <c r="G60">
        <v>60</v>
      </c>
      <c r="H60">
        <v>0</v>
      </c>
    </row>
    <row r="61" spans="1:8" x14ac:dyDescent="0.25">
      <c r="A61" t="s">
        <v>63</v>
      </c>
      <c r="B61">
        <v>25</v>
      </c>
      <c r="C61" t="s">
        <v>83</v>
      </c>
      <c r="D61" t="s">
        <v>611</v>
      </c>
      <c r="E61">
        <v>3</v>
      </c>
      <c r="F61">
        <v>28</v>
      </c>
      <c r="G61">
        <v>28</v>
      </c>
      <c r="H61">
        <v>0</v>
      </c>
    </row>
    <row r="62" spans="1:8" x14ac:dyDescent="0.25">
      <c r="A62" t="s">
        <v>66</v>
      </c>
      <c r="B62">
        <v>25</v>
      </c>
      <c r="C62" t="s">
        <v>83</v>
      </c>
      <c r="D62" t="s">
        <v>598</v>
      </c>
      <c r="E62">
        <v>3</v>
      </c>
      <c r="F62">
        <v>30</v>
      </c>
      <c r="G62">
        <v>30</v>
      </c>
      <c r="H62">
        <v>0</v>
      </c>
    </row>
    <row r="63" spans="1:8" x14ac:dyDescent="0.25">
      <c r="A63" t="s">
        <v>67</v>
      </c>
      <c r="B63">
        <v>25</v>
      </c>
      <c r="C63" t="s">
        <v>83</v>
      </c>
      <c r="D63" t="s">
        <v>633</v>
      </c>
      <c r="E63">
        <v>3</v>
      </c>
      <c r="F63">
        <v>20</v>
      </c>
      <c r="G63">
        <v>20</v>
      </c>
      <c r="H63">
        <v>0</v>
      </c>
    </row>
    <row r="64" spans="1:8" x14ac:dyDescent="0.25">
      <c r="A64" t="s">
        <v>67</v>
      </c>
      <c r="B64">
        <v>25</v>
      </c>
      <c r="C64" t="s">
        <v>83</v>
      </c>
      <c r="D64" t="s">
        <v>634</v>
      </c>
      <c r="E64">
        <v>0</v>
      </c>
      <c r="F64">
        <v>0</v>
      </c>
      <c r="G64">
        <v>0</v>
      </c>
      <c r="H64">
        <v>0</v>
      </c>
    </row>
    <row r="65" spans="1:8" x14ac:dyDescent="0.25">
      <c r="A65" t="s">
        <v>4</v>
      </c>
      <c r="B65">
        <v>20</v>
      </c>
      <c r="C65" t="s">
        <v>84</v>
      </c>
      <c r="D65" t="s">
        <v>606</v>
      </c>
      <c r="E65">
        <v>3</v>
      </c>
      <c r="F65">
        <v>21</v>
      </c>
      <c r="G65">
        <v>21</v>
      </c>
      <c r="H65">
        <v>0</v>
      </c>
    </row>
    <row r="66" spans="1:8" x14ac:dyDescent="0.25">
      <c r="A66" t="s">
        <v>20</v>
      </c>
      <c r="B66">
        <v>20</v>
      </c>
      <c r="C66" t="s">
        <v>84</v>
      </c>
      <c r="D66" t="s">
        <v>624</v>
      </c>
      <c r="E66">
        <v>3</v>
      </c>
      <c r="F66">
        <v>29</v>
      </c>
      <c r="G66">
        <v>29</v>
      </c>
      <c r="H66">
        <v>0</v>
      </c>
    </row>
    <row r="67" spans="1:8" x14ac:dyDescent="0.25">
      <c r="A67" t="s">
        <v>27</v>
      </c>
      <c r="B67">
        <v>20</v>
      </c>
      <c r="C67" t="s">
        <v>84</v>
      </c>
      <c r="D67" t="s">
        <v>606</v>
      </c>
      <c r="E67">
        <v>3</v>
      </c>
      <c r="F67">
        <v>30</v>
      </c>
      <c r="G67">
        <v>30</v>
      </c>
      <c r="H67">
        <v>0</v>
      </c>
    </row>
    <row r="68" spans="1:8" x14ac:dyDescent="0.25">
      <c r="A68" t="s">
        <v>52</v>
      </c>
      <c r="B68">
        <v>20</v>
      </c>
      <c r="C68" t="s">
        <v>84</v>
      </c>
      <c r="D68" t="s">
        <v>635</v>
      </c>
      <c r="E68">
        <v>2</v>
      </c>
      <c r="F68">
        <v>53</v>
      </c>
      <c r="G68">
        <v>53</v>
      </c>
      <c r="H68">
        <v>0</v>
      </c>
    </row>
    <row r="69" spans="1:8" x14ac:dyDescent="0.25">
      <c r="A69" t="s">
        <v>54</v>
      </c>
      <c r="B69">
        <v>20</v>
      </c>
      <c r="C69" t="s">
        <v>84</v>
      </c>
      <c r="D69" t="s">
        <v>617</v>
      </c>
      <c r="E69">
        <v>3</v>
      </c>
      <c r="F69">
        <v>32</v>
      </c>
      <c r="G69">
        <v>32</v>
      </c>
      <c r="H69">
        <v>0</v>
      </c>
    </row>
    <row r="70" spans="1:8" x14ac:dyDescent="0.25">
      <c r="A70" t="s">
        <v>56</v>
      </c>
      <c r="B70">
        <v>20</v>
      </c>
      <c r="C70" t="s">
        <v>84</v>
      </c>
      <c r="D70" t="s">
        <v>636</v>
      </c>
      <c r="E70">
        <v>3</v>
      </c>
      <c r="F70">
        <v>21</v>
      </c>
      <c r="G70">
        <v>21</v>
      </c>
      <c r="H70">
        <v>0</v>
      </c>
    </row>
    <row r="71" spans="1:8" x14ac:dyDescent="0.25">
      <c r="A71" t="s">
        <v>58</v>
      </c>
      <c r="B71">
        <v>20</v>
      </c>
      <c r="C71" t="s">
        <v>84</v>
      </c>
      <c r="D71" t="s">
        <v>607</v>
      </c>
      <c r="E71">
        <v>3</v>
      </c>
      <c r="F71">
        <v>24</v>
      </c>
      <c r="G71">
        <v>24</v>
      </c>
      <c r="H71">
        <v>0</v>
      </c>
    </row>
    <row r="72" spans="1:8" x14ac:dyDescent="0.25">
      <c r="A72" t="s">
        <v>596</v>
      </c>
      <c r="B72">
        <v>20</v>
      </c>
      <c r="C72" t="s">
        <v>84</v>
      </c>
      <c r="D72" t="s">
        <v>619</v>
      </c>
      <c r="E72">
        <v>0</v>
      </c>
      <c r="F72">
        <v>0</v>
      </c>
      <c r="G72">
        <v>0</v>
      </c>
      <c r="H72">
        <v>0</v>
      </c>
    </row>
    <row r="73" spans="1:8" x14ac:dyDescent="0.25">
      <c r="A73" t="s">
        <v>596</v>
      </c>
      <c r="B73">
        <v>20</v>
      </c>
      <c r="C73" t="s">
        <v>84</v>
      </c>
      <c r="D73" t="s">
        <v>610</v>
      </c>
      <c r="E73">
        <v>0</v>
      </c>
      <c r="F73">
        <v>0</v>
      </c>
      <c r="G73">
        <v>0</v>
      </c>
      <c r="H73">
        <v>0</v>
      </c>
    </row>
    <row r="74" spans="1:8" x14ac:dyDescent="0.25">
      <c r="A74" t="s">
        <v>60</v>
      </c>
      <c r="B74">
        <v>20</v>
      </c>
      <c r="C74" t="s">
        <v>84</v>
      </c>
      <c r="D74" t="s">
        <v>637</v>
      </c>
      <c r="E74">
        <v>3</v>
      </c>
      <c r="F74">
        <v>21</v>
      </c>
      <c r="G74">
        <v>21</v>
      </c>
      <c r="H74">
        <v>0</v>
      </c>
    </row>
    <row r="75" spans="1:8" x14ac:dyDescent="0.25">
      <c r="A75" t="s">
        <v>61</v>
      </c>
      <c r="B75">
        <v>20</v>
      </c>
      <c r="C75" t="s">
        <v>84</v>
      </c>
      <c r="D75" t="s">
        <v>616</v>
      </c>
      <c r="E75">
        <v>0</v>
      </c>
      <c r="F75">
        <v>15</v>
      </c>
      <c r="G75">
        <v>15</v>
      </c>
      <c r="H75">
        <v>0</v>
      </c>
    </row>
    <row r="76" spans="1:8" x14ac:dyDescent="0.25">
      <c r="A76" t="s">
        <v>62</v>
      </c>
      <c r="B76">
        <v>20</v>
      </c>
      <c r="C76" t="s">
        <v>84</v>
      </c>
      <c r="D76" t="s">
        <v>638</v>
      </c>
      <c r="E76">
        <v>1</v>
      </c>
      <c r="F76">
        <v>36</v>
      </c>
      <c r="G76">
        <v>36</v>
      </c>
      <c r="H76">
        <v>0</v>
      </c>
    </row>
    <row r="77" spans="1:8" x14ac:dyDescent="0.25">
      <c r="A77" t="s">
        <v>63</v>
      </c>
      <c r="B77">
        <v>20</v>
      </c>
      <c r="C77" t="s">
        <v>84</v>
      </c>
      <c r="D77" t="s">
        <v>639</v>
      </c>
      <c r="E77">
        <v>3</v>
      </c>
      <c r="F77">
        <v>30</v>
      </c>
      <c r="G77">
        <v>30</v>
      </c>
      <c r="H77">
        <v>0</v>
      </c>
    </row>
    <row r="78" spans="1:8" x14ac:dyDescent="0.25">
      <c r="A78" t="s">
        <v>66</v>
      </c>
      <c r="B78">
        <v>20</v>
      </c>
      <c r="C78" t="s">
        <v>84</v>
      </c>
      <c r="D78" t="s">
        <v>640</v>
      </c>
      <c r="E78">
        <v>3</v>
      </c>
      <c r="F78">
        <v>30</v>
      </c>
      <c r="G78">
        <v>30</v>
      </c>
      <c r="H78">
        <v>0</v>
      </c>
    </row>
    <row r="79" spans="1:8" x14ac:dyDescent="0.25">
      <c r="A79" t="s">
        <v>67</v>
      </c>
      <c r="B79">
        <v>20</v>
      </c>
      <c r="C79" t="s">
        <v>84</v>
      </c>
      <c r="D79" t="s">
        <v>641</v>
      </c>
      <c r="E79">
        <v>3</v>
      </c>
      <c r="F79">
        <v>20</v>
      </c>
      <c r="G79">
        <v>20</v>
      </c>
      <c r="H79">
        <v>0</v>
      </c>
    </row>
    <row r="80" spans="1:8" x14ac:dyDescent="0.25">
      <c r="A80" t="s">
        <v>67</v>
      </c>
      <c r="B80">
        <v>20</v>
      </c>
      <c r="C80" t="s">
        <v>84</v>
      </c>
      <c r="D80" t="s">
        <v>642</v>
      </c>
      <c r="E80">
        <v>0</v>
      </c>
      <c r="F80">
        <v>0</v>
      </c>
      <c r="G80">
        <v>0</v>
      </c>
      <c r="H80">
        <v>0</v>
      </c>
    </row>
    <row r="81" spans="1:8" x14ac:dyDescent="0.25">
      <c r="A81" t="s">
        <v>4</v>
      </c>
      <c r="B81">
        <v>20</v>
      </c>
      <c r="C81" t="s">
        <v>85</v>
      </c>
      <c r="D81" t="s">
        <v>643</v>
      </c>
      <c r="E81">
        <v>3</v>
      </c>
      <c r="F81">
        <v>21</v>
      </c>
      <c r="G81">
        <v>21</v>
      </c>
      <c r="H81">
        <v>0</v>
      </c>
    </row>
    <row r="82" spans="1:8" x14ac:dyDescent="0.25">
      <c r="A82" t="s">
        <v>4</v>
      </c>
      <c r="B82">
        <v>20</v>
      </c>
      <c r="C82" t="s">
        <v>85</v>
      </c>
      <c r="D82" t="s">
        <v>592</v>
      </c>
      <c r="E82">
        <v>0</v>
      </c>
      <c r="F82">
        <v>0</v>
      </c>
      <c r="G82">
        <v>0</v>
      </c>
      <c r="H82">
        <v>0</v>
      </c>
    </row>
    <row r="83" spans="1:8" x14ac:dyDescent="0.25">
      <c r="A83" t="s">
        <v>4</v>
      </c>
      <c r="B83">
        <v>20</v>
      </c>
      <c r="C83" t="s">
        <v>85</v>
      </c>
      <c r="D83" t="s">
        <v>644</v>
      </c>
      <c r="E83">
        <v>0</v>
      </c>
      <c r="F83">
        <v>0</v>
      </c>
      <c r="G83">
        <v>0</v>
      </c>
      <c r="H83">
        <v>0</v>
      </c>
    </row>
    <row r="84" spans="1:8" x14ac:dyDescent="0.25">
      <c r="A84" t="s">
        <v>27</v>
      </c>
      <c r="B84">
        <v>20</v>
      </c>
      <c r="C84" t="s">
        <v>85</v>
      </c>
      <c r="D84" t="s">
        <v>645</v>
      </c>
      <c r="E84">
        <v>2</v>
      </c>
      <c r="F84">
        <v>20</v>
      </c>
      <c r="G84">
        <v>20</v>
      </c>
      <c r="H84">
        <v>0</v>
      </c>
    </row>
    <row r="85" spans="1:8" x14ac:dyDescent="0.25">
      <c r="A85" t="s">
        <v>27</v>
      </c>
      <c r="B85">
        <v>20</v>
      </c>
      <c r="C85" t="s">
        <v>85</v>
      </c>
      <c r="D85" t="s">
        <v>646</v>
      </c>
      <c r="E85">
        <v>0</v>
      </c>
      <c r="F85">
        <v>0</v>
      </c>
      <c r="G85">
        <v>0</v>
      </c>
      <c r="H85">
        <v>0</v>
      </c>
    </row>
    <row r="86" spans="1:8" x14ac:dyDescent="0.25">
      <c r="A86" t="s">
        <v>27</v>
      </c>
      <c r="B86">
        <v>20</v>
      </c>
      <c r="C86" t="s">
        <v>85</v>
      </c>
      <c r="D86" t="s">
        <v>647</v>
      </c>
      <c r="E86">
        <v>3</v>
      </c>
      <c r="F86">
        <v>1</v>
      </c>
      <c r="G86">
        <v>1</v>
      </c>
      <c r="H86">
        <v>0</v>
      </c>
    </row>
    <row r="87" spans="1:8" x14ac:dyDescent="0.25">
      <c r="A87" t="s">
        <v>52</v>
      </c>
      <c r="B87">
        <v>20</v>
      </c>
      <c r="C87" t="s">
        <v>85</v>
      </c>
      <c r="D87" t="s">
        <v>648</v>
      </c>
      <c r="E87">
        <v>1</v>
      </c>
      <c r="F87">
        <v>6</v>
      </c>
      <c r="G87">
        <v>6</v>
      </c>
      <c r="H87">
        <v>0</v>
      </c>
    </row>
    <row r="88" spans="1:8" x14ac:dyDescent="0.25">
      <c r="A88" t="s">
        <v>54</v>
      </c>
      <c r="B88">
        <v>20</v>
      </c>
      <c r="C88" t="s">
        <v>85</v>
      </c>
      <c r="D88" t="s">
        <v>587</v>
      </c>
      <c r="E88">
        <v>0</v>
      </c>
      <c r="F88">
        <v>10</v>
      </c>
      <c r="G88">
        <v>10</v>
      </c>
      <c r="H88">
        <v>0</v>
      </c>
    </row>
    <row r="89" spans="1:8" x14ac:dyDescent="0.25">
      <c r="A89" t="s">
        <v>56</v>
      </c>
      <c r="B89">
        <v>20</v>
      </c>
      <c r="C89" t="s">
        <v>85</v>
      </c>
      <c r="D89" t="s">
        <v>601</v>
      </c>
      <c r="E89">
        <v>0</v>
      </c>
      <c r="F89">
        <v>0</v>
      </c>
      <c r="G89">
        <v>0</v>
      </c>
      <c r="H89">
        <v>0</v>
      </c>
    </row>
    <row r="90" spans="1:8" x14ac:dyDescent="0.25">
      <c r="A90" t="s">
        <v>58</v>
      </c>
      <c r="B90">
        <v>20</v>
      </c>
      <c r="C90" t="s">
        <v>85</v>
      </c>
      <c r="D90" t="s">
        <v>649</v>
      </c>
      <c r="E90">
        <v>3</v>
      </c>
      <c r="F90">
        <v>24</v>
      </c>
      <c r="G90">
        <v>24</v>
      </c>
      <c r="H90">
        <v>0</v>
      </c>
    </row>
    <row r="91" spans="1:8" x14ac:dyDescent="0.25">
      <c r="A91" t="s">
        <v>58</v>
      </c>
      <c r="B91">
        <v>20</v>
      </c>
      <c r="C91" t="s">
        <v>85</v>
      </c>
      <c r="D91" t="s">
        <v>639</v>
      </c>
      <c r="E91">
        <v>1</v>
      </c>
      <c r="F91">
        <v>8</v>
      </c>
      <c r="G91">
        <v>8</v>
      </c>
      <c r="H91">
        <v>0</v>
      </c>
    </row>
    <row r="92" spans="1:8" x14ac:dyDescent="0.25">
      <c r="A92" t="s">
        <v>596</v>
      </c>
      <c r="B92">
        <v>20</v>
      </c>
      <c r="C92" t="s">
        <v>85</v>
      </c>
      <c r="D92" t="s">
        <v>620</v>
      </c>
      <c r="E92">
        <v>0</v>
      </c>
      <c r="F92">
        <v>0</v>
      </c>
      <c r="G92">
        <v>0</v>
      </c>
      <c r="H92">
        <v>0</v>
      </c>
    </row>
    <row r="93" spans="1:8" x14ac:dyDescent="0.25">
      <c r="A93" t="s">
        <v>596</v>
      </c>
      <c r="B93">
        <v>20</v>
      </c>
      <c r="C93" t="s">
        <v>85</v>
      </c>
      <c r="D93" t="s">
        <v>650</v>
      </c>
      <c r="E93">
        <v>0</v>
      </c>
      <c r="F93">
        <v>0</v>
      </c>
      <c r="G93">
        <v>0</v>
      </c>
      <c r="H93">
        <v>0</v>
      </c>
    </row>
    <row r="94" spans="1:8" x14ac:dyDescent="0.25">
      <c r="A94" t="s">
        <v>596</v>
      </c>
      <c r="B94">
        <v>20</v>
      </c>
      <c r="C94" t="s">
        <v>85</v>
      </c>
      <c r="D94" t="s">
        <v>645</v>
      </c>
      <c r="E94">
        <v>0</v>
      </c>
      <c r="F94">
        <v>0</v>
      </c>
      <c r="G94">
        <v>0</v>
      </c>
      <c r="H94">
        <v>0</v>
      </c>
    </row>
    <row r="95" spans="1:8" x14ac:dyDescent="0.25">
      <c r="A95" t="s">
        <v>596</v>
      </c>
      <c r="B95">
        <v>20</v>
      </c>
      <c r="C95" t="s">
        <v>85</v>
      </c>
      <c r="D95" t="s">
        <v>651</v>
      </c>
      <c r="E95">
        <v>0</v>
      </c>
      <c r="F95">
        <v>0</v>
      </c>
      <c r="G95">
        <v>0</v>
      </c>
      <c r="H95">
        <v>0</v>
      </c>
    </row>
    <row r="96" spans="1:8" x14ac:dyDescent="0.25">
      <c r="A96" t="s">
        <v>596</v>
      </c>
      <c r="B96">
        <v>20</v>
      </c>
      <c r="C96" t="s">
        <v>85</v>
      </c>
      <c r="D96" t="s">
        <v>652</v>
      </c>
      <c r="E96">
        <v>0</v>
      </c>
      <c r="F96">
        <v>0</v>
      </c>
      <c r="G96">
        <v>0</v>
      </c>
      <c r="H96">
        <v>0</v>
      </c>
    </row>
    <row r="97" spans="1:8" x14ac:dyDescent="0.25">
      <c r="A97" t="s">
        <v>596</v>
      </c>
      <c r="B97">
        <v>20</v>
      </c>
      <c r="C97" t="s">
        <v>85</v>
      </c>
      <c r="D97" t="s">
        <v>653</v>
      </c>
      <c r="E97">
        <v>0</v>
      </c>
      <c r="F97">
        <v>0</v>
      </c>
      <c r="G97">
        <v>0</v>
      </c>
      <c r="H97">
        <v>0</v>
      </c>
    </row>
    <row r="98" spans="1:8" x14ac:dyDescent="0.25">
      <c r="A98" t="s">
        <v>61</v>
      </c>
      <c r="B98">
        <v>20</v>
      </c>
      <c r="C98" t="s">
        <v>85</v>
      </c>
      <c r="D98" t="s">
        <v>588</v>
      </c>
      <c r="E98">
        <v>0</v>
      </c>
      <c r="F98">
        <v>15</v>
      </c>
      <c r="G98">
        <v>15</v>
      </c>
      <c r="H98">
        <v>0</v>
      </c>
    </row>
    <row r="99" spans="1:8" x14ac:dyDescent="0.25">
      <c r="A99" t="s">
        <v>61</v>
      </c>
      <c r="B99">
        <v>20</v>
      </c>
      <c r="C99" t="s">
        <v>85</v>
      </c>
      <c r="D99" t="s">
        <v>632</v>
      </c>
      <c r="E99">
        <v>0</v>
      </c>
      <c r="F99">
        <v>15</v>
      </c>
      <c r="G99">
        <v>15</v>
      </c>
      <c r="H99">
        <v>0</v>
      </c>
    </row>
    <row r="100" spans="1:8" x14ac:dyDescent="0.25">
      <c r="A100" t="s">
        <v>62</v>
      </c>
      <c r="B100">
        <v>20</v>
      </c>
      <c r="C100" t="s">
        <v>85</v>
      </c>
      <c r="D100" t="s">
        <v>654</v>
      </c>
      <c r="E100">
        <v>3</v>
      </c>
      <c r="F100">
        <v>59</v>
      </c>
      <c r="G100">
        <v>59</v>
      </c>
      <c r="H100">
        <v>0</v>
      </c>
    </row>
    <row r="101" spans="1:8" x14ac:dyDescent="0.25">
      <c r="A101" t="s">
        <v>63</v>
      </c>
      <c r="B101">
        <v>20</v>
      </c>
      <c r="C101" t="s">
        <v>85</v>
      </c>
      <c r="D101" t="s">
        <v>655</v>
      </c>
      <c r="E101">
        <v>3</v>
      </c>
      <c r="F101">
        <v>29</v>
      </c>
      <c r="G101">
        <v>29</v>
      </c>
      <c r="H101">
        <v>0</v>
      </c>
    </row>
    <row r="102" spans="1:8" x14ac:dyDescent="0.25">
      <c r="A102" t="s">
        <v>62</v>
      </c>
      <c r="B102">
        <v>20</v>
      </c>
      <c r="C102" t="s">
        <v>85</v>
      </c>
      <c r="D102" t="s">
        <v>656</v>
      </c>
      <c r="E102">
        <v>1</v>
      </c>
      <c r="F102">
        <v>40</v>
      </c>
      <c r="G102">
        <v>40</v>
      </c>
      <c r="H102">
        <v>0</v>
      </c>
    </row>
    <row r="103" spans="1:8" x14ac:dyDescent="0.25">
      <c r="A103" t="s">
        <v>63</v>
      </c>
      <c r="B103">
        <v>20</v>
      </c>
      <c r="C103" t="s">
        <v>85</v>
      </c>
      <c r="D103" t="s">
        <v>657</v>
      </c>
      <c r="E103">
        <v>3</v>
      </c>
      <c r="F103">
        <v>29</v>
      </c>
      <c r="G103">
        <v>29</v>
      </c>
      <c r="H103">
        <v>0</v>
      </c>
    </row>
    <row r="104" spans="1:8" x14ac:dyDescent="0.25">
      <c r="A104" t="s">
        <v>67</v>
      </c>
      <c r="B104">
        <v>20</v>
      </c>
      <c r="C104" t="s">
        <v>85</v>
      </c>
      <c r="D104" t="s">
        <v>621</v>
      </c>
      <c r="E104">
        <v>0</v>
      </c>
      <c r="F104">
        <v>0</v>
      </c>
      <c r="G104">
        <v>0</v>
      </c>
      <c r="H104">
        <v>0</v>
      </c>
    </row>
    <row r="105" spans="1:8" x14ac:dyDescent="0.25">
      <c r="A105" t="s">
        <v>67</v>
      </c>
      <c r="B105">
        <v>20</v>
      </c>
      <c r="C105" t="s">
        <v>85</v>
      </c>
      <c r="D105" t="s">
        <v>658</v>
      </c>
      <c r="E105">
        <v>0</v>
      </c>
      <c r="F105">
        <v>0</v>
      </c>
      <c r="G105">
        <v>0</v>
      </c>
      <c r="H105">
        <v>0</v>
      </c>
    </row>
    <row r="106" spans="1:8" x14ac:dyDescent="0.25">
      <c r="A106" t="s">
        <v>4</v>
      </c>
      <c r="B106">
        <v>20</v>
      </c>
      <c r="C106" t="s">
        <v>85</v>
      </c>
      <c r="D106" t="s">
        <v>656</v>
      </c>
      <c r="E106">
        <v>3</v>
      </c>
      <c r="F106">
        <v>21</v>
      </c>
      <c r="G106">
        <v>21</v>
      </c>
      <c r="H106">
        <v>0</v>
      </c>
    </row>
    <row r="107" spans="1:8" x14ac:dyDescent="0.25">
      <c r="A107" t="s">
        <v>20</v>
      </c>
      <c r="B107">
        <v>20</v>
      </c>
      <c r="C107" t="s">
        <v>85</v>
      </c>
      <c r="D107" t="s">
        <v>659</v>
      </c>
      <c r="E107">
        <v>3</v>
      </c>
      <c r="F107">
        <v>30</v>
      </c>
      <c r="G107">
        <v>30</v>
      </c>
      <c r="H107">
        <v>0</v>
      </c>
    </row>
    <row r="108" spans="1:8" x14ac:dyDescent="0.25">
      <c r="A108" t="s">
        <v>27</v>
      </c>
      <c r="B108">
        <v>20</v>
      </c>
      <c r="C108" t="s">
        <v>85</v>
      </c>
      <c r="D108" t="s">
        <v>623</v>
      </c>
      <c r="E108">
        <v>3</v>
      </c>
      <c r="F108">
        <v>30</v>
      </c>
      <c r="G108">
        <v>30</v>
      </c>
      <c r="H108">
        <v>0</v>
      </c>
    </row>
    <row r="109" spans="1:8" x14ac:dyDescent="0.25">
      <c r="A109" t="s">
        <v>52</v>
      </c>
      <c r="B109">
        <v>20</v>
      </c>
      <c r="C109" t="s">
        <v>85</v>
      </c>
      <c r="D109" t="s">
        <v>625</v>
      </c>
      <c r="E109">
        <v>3</v>
      </c>
      <c r="F109">
        <v>60</v>
      </c>
      <c r="G109">
        <v>60</v>
      </c>
      <c r="H109">
        <v>0</v>
      </c>
    </row>
    <row r="110" spans="1:8" x14ac:dyDescent="0.25">
      <c r="A110" t="s">
        <v>54</v>
      </c>
      <c r="B110">
        <v>20</v>
      </c>
      <c r="C110" t="s">
        <v>85</v>
      </c>
      <c r="D110" t="s">
        <v>660</v>
      </c>
      <c r="E110">
        <v>3</v>
      </c>
      <c r="F110">
        <v>22</v>
      </c>
      <c r="G110">
        <v>22</v>
      </c>
      <c r="H110">
        <v>0</v>
      </c>
    </row>
    <row r="111" spans="1:8" x14ac:dyDescent="0.25">
      <c r="A111" t="s">
        <v>56</v>
      </c>
      <c r="B111">
        <v>20</v>
      </c>
      <c r="C111" t="s">
        <v>85</v>
      </c>
      <c r="D111" t="s">
        <v>661</v>
      </c>
      <c r="E111">
        <v>3</v>
      </c>
      <c r="F111">
        <v>21</v>
      </c>
      <c r="G111">
        <v>21</v>
      </c>
      <c r="H111">
        <v>0</v>
      </c>
    </row>
    <row r="112" spans="1:8" x14ac:dyDescent="0.25">
      <c r="A112" t="s">
        <v>58</v>
      </c>
      <c r="B112">
        <v>20</v>
      </c>
      <c r="C112" t="s">
        <v>85</v>
      </c>
      <c r="D112" t="s">
        <v>662</v>
      </c>
      <c r="E112">
        <v>3</v>
      </c>
      <c r="F112">
        <v>24</v>
      </c>
      <c r="G112">
        <v>24</v>
      </c>
      <c r="H112">
        <v>0</v>
      </c>
    </row>
    <row r="113" spans="1:8" x14ac:dyDescent="0.25">
      <c r="A113" t="s">
        <v>596</v>
      </c>
      <c r="B113">
        <v>20</v>
      </c>
      <c r="C113" t="s">
        <v>85</v>
      </c>
      <c r="D113" t="s">
        <v>618</v>
      </c>
      <c r="E113">
        <v>0</v>
      </c>
      <c r="F113">
        <v>0</v>
      </c>
      <c r="G113">
        <v>0</v>
      </c>
      <c r="H113">
        <v>0</v>
      </c>
    </row>
    <row r="114" spans="1:8" x14ac:dyDescent="0.25">
      <c r="A114" t="s">
        <v>596</v>
      </c>
      <c r="B114">
        <v>20</v>
      </c>
      <c r="C114" t="s">
        <v>85</v>
      </c>
      <c r="D114" t="s">
        <v>663</v>
      </c>
      <c r="E114">
        <v>0</v>
      </c>
      <c r="F114">
        <v>0</v>
      </c>
      <c r="G114">
        <v>0</v>
      </c>
      <c r="H114">
        <v>0</v>
      </c>
    </row>
    <row r="115" spans="1:8" x14ac:dyDescent="0.25">
      <c r="A115" t="s">
        <v>60</v>
      </c>
      <c r="B115">
        <v>20</v>
      </c>
      <c r="C115" t="s">
        <v>85</v>
      </c>
      <c r="D115" t="s">
        <v>632</v>
      </c>
      <c r="E115">
        <v>3</v>
      </c>
      <c r="F115">
        <v>19</v>
      </c>
      <c r="G115">
        <v>19</v>
      </c>
      <c r="H115">
        <v>0</v>
      </c>
    </row>
    <row r="116" spans="1:8" x14ac:dyDescent="0.25">
      <c r="A116" t="s">
        <v>61</v>
      </c>
      <c r="B116">
        <v>20</v>
      </c>
      <c r="C116" t="s">
        <v>85</v>
      </c>
      <c r="D116" t="s">
        <v>664</v>
      </c>
      <c r="E116">
        <v>0</v>
      </c>
      <c r="F116">
        <v>15</v>
      </c>
      <c r="G116">
        <v>15</v>
      </c>
      <c r="H116">
        <v>0</v>
      </c>
    </row>
    <row r="117" spans="1:8" x14ac:dyDescent="0.25">
      <c r="A117" t="s">
        <v>62</v>
      </c>
      <c r="B117">
        <v>20</v>
      </c>
      <c r="C117" t="s">
        <v>85</v>
      </c>
      <c r="D117" t="s">
        <v>602</v>
      </c>
      <c r="E117">
        <v>3</v>
      </c>
      <c r="F117">
        <v>59</v>
      </c>
      <c r="G117">
        <v>59</v>
      </c>
      <c r="H117">
        <v>0</v>
      </c>
    </row>
    <row r="118" spans="1:8" x14ac:dyDescent="0.25">
      <c r="A118" t="s">
        <v>63</v>
      </c>
      <c r="B118">
        <v>20</v>
      </c>
      <c r="C118" t="s">
        <v>85</v>
      </c>
      <c r="D118" t="s">
        <v>650</v>
      </c>
      <c r="E118">
        <v>3</v>
      </c>
      <c r="F118">
        <v>29</v>
      </c>
      <c r="G118">
        <v>29</v>
      </c>
      <c r="H118">
        <v>0</v>
      </c>
    </row>
    <row r="119" spans="1:8" x14ac:dyDescent="0.25">
      <c r="A119" t="s">
        <v>66</v>
      </c>
      <c r="B119">
        <v>20</v>
      </c>
      <c r="C119" t="s">
        <v>85</v>
      </c>
      <c r="D119" t="s">
        <v>627</v>
      </c>
      <c r="E119">
        <v>3</v>
      </c>
      <c r="F119">
        <v>28</v>
      </c>
      <c r="G119">
        <v>28</v>
      </c>
      <c r="H119">
        <v>0</v>
      </c>
    </row>
    <row r="120" spans="1:8" x14ac:dyDescent="0.25">
      <c r="A120" t="s">
        <v>67</v>
      </c>
      <c r="B120">
        <v>20</v>
      </c>
      <c r="C120" t="s">
        <v>85</v>
      </c>
      <c r="D120" t="s">
        <v>665</v>
      </c>
      <c r="E120">
        <v>0</v>
      </c>
      <c r="F120">
        <v>0</v>
      </c>
      <c r="G120">
        <v>0</v>
      </c>
      <c r="H120">
        <v>0</v>
      </c>
    </row>
    <row r="121" spans="1:8" x14ac:dyDescent="0.25">
      <c r="A121" t="s">
        <v>67</v>
      </c>
      <c r="B121">
        <v>20</v>
      </c>
      <c r="C121" t="s">
        <v>85</v>
      </c>
      <c r="D121" t="s">
        <v>666</v>
      </c>
      <c r="E121">
        <v>0</v>
      </c>
      <c r="F121">
        <v>0</v>
      </c>
      <c r="G121">
        <v>0</v>
      </c>
      <c r="H121">
        <v>0</v>
      </c>
    </row>
    <row r="122" spans="1:8" x14ac:dyDescent="0.25">
      <c r="A122" t="s">
        <v>4</v>
      </c>
      <c r="B122">
        <v>20</v>
      </c>
      <c r="C122" t="s">
        <v>86</v>
      </c>
      <c r="D122" t="s">
        <v>667</v>
      </c>
      <c r="E122">
        <v>3</v>
      </c>
      <c r="F122">
        <v>21</v>
      </c>
      <c r="G122">
        <v>21</v>
      </c>
      <c r="H122">
        <v>0</v>
      </c>
    </row>
    <row r="123" spans="1:8" x14ac:dyDescent="0.25">
      <c r="A123" t="s">
        <v>20</v>
      </c>
      <c r="B123">
        <v>20</v>
      </c>
      <c r="C123" t="s">
        <v>86</v>
      </c>
      <c r="D123" t="s">
        <v>615</v>
      </c>
      <c r="E123">
        <v>3</v>
      </c>
      <c r="F123">
        <v>28</v>
      </c>
      <c r="G123">
        <v>28</v>
      </c>
      <c r="H123">
        <v>0</v>
      </c>
    </row>
    <row r="124" spans="1:8" x14ac:dyDescent="0.25">
      <c r="A124" t="s">
        <v>27</v>
      </c>
      <c r="B124">
        <v>20</v>
      </c>
      <c r="C124" t="s">
        <v>86</v>
      </c>
      <c r="D124" t="s">
        <v>610</v>
      </c>
      <c r="E124">
        <v>3</v>
      </c>
      <c r="F124">
        <v>29</v>
      </c>
      <c r="G124">
        <v>29</v>
      </c>
      <c r="H124">
        <v>0</v>
      </c>
    </row>
    <row r="125" spans="1:8" x14ac:dyDescent="0.25">
      <c r="A125" t="s">
        <v>52</v>
      </c>
      <c r="B125">
        <v>20</v>
      </c>
      <c r="C125" t="s">
        <v>86</v>
      </c>
      <c r="D125" t="s">
        <v>668</v>
      </c>
      <c r="E125">
        <v>2</v>
      </c>
      <c r="F125">
        <v>55</v>
      </c>
      <c r="G125">
        <v>55</v>
      </c>
      <c r="H125">
        <v>0</v>
      </c>
    </row>
    <row r="126" spans="1:8" x14ac:dyDescent="0.25">
      <c r="A126" t="s">
        <v>54</v>
      </c>
      <c r="B126">
        <v>20</v>
      </c>
      <c r="C126" t="s">
        <v>86</v>
      </c>
      <c r="D126" t="s">
        <v>621</v>
      </c>
      <c r="E126">
        <v>3</v>
      </c>
      <c r="F126">
        <v>31</v>
      </c>
      <c r="G126">
        <v>31</v>
      </c>
      <c r="H126">
        <v>0</v>
      </c>
    </row>
    <row r="127" spans="1:8" x14ac:dyDescent="0.25">
      <c r="A127" t="s">
        <v>56</v>
      </c>
      <c r="B127">
        <v>20</v>
      </c>
      <c r="C127" t="s">
        <v>86</v>
      </c>
      <c r="D127" t="s">
        <v>621</v>
      </c>
      <c r="E127">
        <v>3</v>
      </c>
      <c r="F127">
        <v>20</v>
      </c>
      <c r="G127">
        <v>20</v>
      </c>
      <c r="H127">
        <v>0</v>
      </c>
    </row>
    <row r="128" spans="1:8" x14ac:dyDescent="0.25">
      <c r="A128" t="s">
        <v>58</v>
      </c>
      <c r="B128">
        <v>20</v>
      </c>
      <c r="C128" t="s">
        <v>86</v>
      </c>
      <c r="D128" t="s">
        <v>649</v>
      </c>
      <c r="E128">
        <v>3</v>
      </c>
      <c r="F128">
        <v>24</v>
      </c>
      <c r="G128">
        <v>24</v>
      </c>
      <c r="H128">
        <v>0</v>
      </c>
    </row>
    <row r="129" spans="1:8" x14ac:dyDescent="0.25">
      <c r="A129" t="s">
        <v>596</v>
      </c>
      <c r="B129">
        <v>20</v>
      </c>
      <c r="C129" t="s">
        <v>86</v>
      </c>
      <c r="D129" t="s">
        <v>608</v>
      </c>
      <c r="E129">
        <v>0</v>
      </c>
      <c r="F129">
        <v>0</v>
      </c>
      <c r="G129">
        <v>0</v>
      </c>
      <c r="H129">
        <v>0</v>
      </c>
    </row>
    <row r="130" spans="1:8" x14ac:dyDescent="0.25">
      <c r="A130" t="s">
        <v>596</v>
      </c>
      <c r="B130">
        <v>20</v>
      </c>
      <c r="C130" t="s">
        <v>86</v>
      </c>
      <c r="D130" t="s">
        <v>669</v>
      </c>
      <c r="E130">
        <v>0</v>
      </c>
      <c r="F130">
        <v>0</v>
      </c>
      <c r="G130">
        <v>0</v>
      </c>
      <c r="H130">
        <v>0</v>
      </c>
    </row>
    <row r="131" spans="1:8" x14ac:dyDescent="0.25">
      <c r="A131" t="s">
        <v>61</v>
      </c>
      <c r="B131">
        <v>20</v>
      </c>
      <c r="C131" t="s">
        <v>86</v>
      </c>
      <c r="D131" t="s">
        <v>615</v>
      </c>
      <c r="E131">
        <v>0</v>
      </c>
      <c r="F131">
        <v>15</v>
      </c>
      <c r="G131">
        <v>15</v>
      </c>
      <c r="H131">
        <v>0</v>
      </c>
    </row>
    <row r="132" spans="1:8" x14ac:dyDescent="0.25">
      <c r="A132" t="s">
        <v>62</v>
      </c>
      <c r="B132">
        <v>20</v>
      </c>
      <c r="C132" t="s">
        <v>86</v>
      </c>
      <c r="D132" t="s">
        <v>669</v>
      </c>
      <c r="E132">
        <v>3</v>
      </c>
      <c r="F132">
        <v>60</v>
      </c>
      <c r="G132">
        <v>60</v>
      </c>
      <c r="H132">
        <v>0</v>
      </c>
    </row>
    <row r="133" spans="1:8" x14ac:dyDescent="0.25">
      <c r="A133" t="s">
        <v>63</v>
      </c>
      <c r="B133">
        <v>20</v>
      </c>
      <c r="C133" t="s">
        <v>86</v>
      </c>
      <c r="D133" t="s">
        <v>670</v>
      </c>
      <c r="E133">
        <v>3</v>
      </c>
      <c r="F133">
        <v>30</v>
      </c>
      <c r="G133">
        <v>30</v>
      </c>
      <c r="H133">
        <v>0</v>
      </c>
    </row>
    <row r="134" spans="1:8" x14ac:dyDescent="0.25">
      <c r="A134" t="s">
        <v>66</v>
      </c>
      <c r="B134">
        <v>20</v>
      </c>
      <c r="C134" t="s">
        <v>86</v>
      </c>
      <c r="D134" t="s">
        <v>610</v>
      </c>
      <c r="E134">
        <v>3</v>
      </c>
      <c r="F134">
        <v>30</v>
      </c>
      <c r="G134">
        <v>30</v>
      </c>
      <c r="H134">
        <v>0</v>
      </c>
    </row>
    <row r="135" spans="1:8" x14ac:dyDescent="0.25">
      <c r="A135" t="s">
        <v>67</v>
      </c>
      <c r="B135">
        <v>20</v>
      </c>
      <c r="C135" t="s">
        <v>86</v>
      </c>
      <c r="D135" t="s">
        <v>671</v>
      </c>
      <c r="E135">
        <v>3</v>
      </c>
      <c r="F135">
        <v>20</v>
      </c>
      <c r="G135">
        <v>20</v>
      </c>
      <c r="H135">
        <v>0</v>
      </c>
    </row>
    <row r="136" spans="1:8" x14ac:dyDescent="0.25">
      <c r="A136" t="s">
        <v>67</v>
      </c>
      <c r="B136">
        <v>20</v>
      </c>
      <c r="C136" t="s">
        <v>86</v>
      </c>
      <c r="D136" t="s">
        <v>672</v>
      </c>
      <c r="E136">
        <v>0</v>
      </c>
      <c r="F136">
        <v>0</v>
      </c>
      <c r="G136">
        <v>0</v>
      </c>
      <c r="H136">
        <v>0</v>
      </c>
    </row>
    <row r="137" spans="1:8" x14ac:dyDescent="0.25">
      <c r="A137" t="s">
        <v>4</v>
      </c>
      <c r="B137">
        <v>20</v>
      </c>
      <c r="C137" t="s">
        <v>87</v>
      </c>
      <c r="D137" t="s">
        <v>673</v>
      </c>
      <c r="E137">
        <v>3</v>
      </c>
      <c r="F137">
        <v>21</v>
      </c>
      <c r="G137">
        <v>21</v>
      </c>
      <c r="H137">
        <v>0</v>
      </c>
    </row>
    <row r="138" spans="1:8" x14ac:dyDescent="0.25">
      <c r="A138" t="s">
        <v>20</v>
      </c>
      <c r="B138">
        <v>20</v>
      </c>
      <c r="C138" t="s">
        <v>87</v>
      </c>
      <c r="D138" t="s">
        <v>615</v>
      </c>
      <c r="E138">
        <v>3</v>
      </c>
      <c r="F138">
        <v>30</v>
      </c>
      <c r="G138">
        <v>30</v>
      </c>
      <c r="H138">
        <v>0</v>
      </c>
    </row>
    <row r="139" spans="1:8" x14ac:dyDescent="0.25">
      <c r="A139" t="s">
        <v>27</v>
      </c>
      <c r="B139">
        <v>20</v>
      </c>
      <c r="C139" t="s">
        <v>87</v>
      </c>
      <c r="D139" t="s">
        <v>615</v>
      </c>
      <c r="E139">
        <v>3</v>
      </c>
      <c r="F139">
        <v>30</v>
      </c>
      <c r="G139">
        <v>30</v>
      </c>
      <c r="H139">
        <v>0</v>
      </c>
    </row>
    <row r="140" spans="1:8" x14ac:dyDescent="0.25">
      <c r="A140" t="s">
        <v>52</v>
      </c>
      <c r="B140">
        <v>20</v>
      </c>
      <c r="C140" t="s">
        <v>87</v>
      </c>
      <c r="D140" t="s">
        <v>597</v>
      </c>
      <c r="E140">
        <v>2</v>
      </c>
      <c r="F140">
        <v>40</v>
      </c>
      <c r="G140">
        <v>40</v>
      </c>
      <c r="H140">
        <v>0</v>
      </c>
    </row>
    <row r="141" spans="1:8" x14ac:dyDescent="0.25">
      <c r="A141" t="s">
        <v>54</v>
      </c>
      <c r="B141">
        <v>20</v>
      </c>
      <c r="C141" t="s">
        <v>87</v>
      </c>
      <c r="D141" t="s">
        <v>674</v>
      </c>
      <c r="E141">
        <v>0</v>
      </c>
      <c r="F141">
        <v>0</v>
      </c>
      <c r="G141">
        <v>0</v>
      </c>
      <c r="H141">
        <v>0</v>
      </c>
    </row>
    <row r="142" spans="1:8" x14ac:dyDescent="0.25">
      <c r="A142" t="s">
        <v>54</v>
      </c>
      <c r="B142">
        <v>20</v>
      </c>
      <c r="C142" t="s">
        <v>87</v>
      </c>
      <c r="D142" t="s">
        <v>675</v>
      </c>
      <c r="E142">
        <v>0</v>
      </c>
      <c r="F142">
        <v>0</v>
      </c>
      <c r="G142">
        <v>0</v>
      </c>
      <c r="H142">
        <v>0</v>
      </c>
    </row>
    <row r="143" spans="1:8" x14ac:dyDescent="0.25">
      <c r="A143" t="s">
        <v>56</v>
      </c>
      <c r="B143">
        <v>20</v>
      </c>
      <c r="C143" t="s">
        <v>87</v>
      </c>
      <c r="D143" t="s">
        <v>604</v>
      </c>
      <c r="E143">
        <v>3</v>
      </c>
      <c r="F143">
        <v>21</v>
      </c>
      <c r="G143">
        <v>21</v>
      </c>
      <c r="H143">
        <v>0</v>
      </c>
    </row>
    <row r="144" spans="1:8" x14ac:dyDescent="0.25">
      <c r="A144" t="s">
        <v>58</v>
      </c>
      <c r="B144">
        <v>20</v>
      </c>
      <c r="C144" t="s">
        <v>87</v>
      </c>
      <c r="D144" t="s">
        <v>657</v>
      </c>
      <c r="E144">
        <v>3</v>
      </c>
      <c r="F144">
        <v>24</v>
      </c>
      <c r="G144">
        <v>24</v>
      </c>
      <c r="H144">
        <v>0</v>
      </c>
    </row>
    <row r="145" spans="1:8" x14ac:dyDescent="0.25">
      <c r="A145" t="s">
        <v>596</v>
      </c>
      <c r="B145">
        <v>20</v>
      </c>
      <c r="C145" t="s">
        <v>87</v>
      </c>
      <c r="D145" t="s">
        <v>629</v>
      </c>
      <c r="E145">
        <v>0</v>
      </c>
      <c r="F145">
        <v>0</v>
      </c>
      <c r="G145">
        <v>0</v>
      </c>
      <c r="H145">
        <v>0</v>
      </c>
    </row>
    <row r="146" spans="1:8" x14ac:dyDescent="0.25">
      <c r="A146" t="s">
        <v>596</v>
      </c>
      <c r="B146">
        <v>20</v>
      </c>
      <c r="C146" t="s">
        <v>87</v>
      </c>
      <c r="D146" t="s">
        <v>627</v>
      </c>
      <c r="E146">
        <v>0</v>
      </c>
      <c r="F146">
        <v>0</v>
      </c>
      <c r="G146">
        <v>0</v>
      </c>
      <c r="H146">
        <v>0</v>
      </c>
    </row>
    <row r="147" spans="1:8" x14ac:dyDescent="0.25">
      <c r="A147" t="s">
        <v>60</v>
      </c>
      <c r="B147">
        <v>20</v>
      </c>
      <c r="C147" t="s">
        <v>87</v>
      </c>
      <c r="D147" t="s">
        <v>650</v>
      </c>
      <c r="E147">
        <v>3</v>
      </c>
      <c r="F147">
        <v>20</v>
      </c>
      <c r="G147">
        <v>20</v>
      </c>
      <c r="H147">
        <v>0</v>
      </c>
    </row>
    <row r="148" spans="1:8" x14ac:dyDescent="0.25">
      <c r="A148" t="s">
        <v>61</v>
      </c>
      <c r="B148">
        <v>20</v>
      </c>
      <c r="C148" t="s">
        <v>87</v>
      </c>
      <c r="D148" t="s">
        <v>676</v>
      </c>
      <c r="E148">
        <v>0</v>
      </c>
      <c r="F148">
        <v>0</v>
      </c>
      <c r="G148">
        <v>0</v>
      </c>
      <c r="H148">
        <v>0</v>
      </c>
    </row>
    <row r="149" spans="1:8" x14ac:dyDescent="0.25">
      <c r="A149" t="s">
        <v>61</v>
      </c>
      <c r="B149">
        <v>20</v>
      </c>
      <c r="C149" t="s">
        <v>87</v>
      </c>
      <c r="D149" t="s">
        <v>677</v>
      </c>
      <c r="E149">
        <v>0</v>
      </c>
      <c r="F149">
        <v>0</v>
      </c>
      <c r="G149">
        <v>0</v>
      </c>
      <c r="H149">
        <v>0</v>
      </c>
    </row>
    <row r="150" spans="1:8" x14ac:dyDescent="0.25">
      <c r="A150" t="s">
        <v>62</v>
      </c>
      <c r="B150">
        <v>20</v>
      </c>
      <c r="C150" t="s">
        <v>87</v>
      </c>
      <c r="D150" t="s">
        <v>606</v>
      </c>
      <c r="E150">
        <v>0</v>
      </c>
      <c r="F150">
        <v>0</v>
      </c>
      <c r="G150">
        <v>0</v>
      </c>
      <c r="H150">
        <v>0</v>
      </c>
    </row>
    <row r="151" spans="1:8" x14ac:dyDescent="0.25">
      <c r="A151" t="s">
        <v>62</v>
      </c>
      <c r="B151">
        <v>20</v>
      </c>
      <c r="C151" t="s">
        <v>87</v>
      </c>
      <c r="D151" t="s">
        <v>660</v>
      </c>
      <c r="E151">
        <v>0</v>
      </c>
      <c r="F151">
        <v>0</v>
      </c>
      <c r="G151">
        <v>0</v>
      </c>
      <c r="H151">
        <v>0</v>
      </c>
    </row>
    <row r="152" spans="1:8" x14ac:dyDescent="0.25">
      <c r="A152" t="s">
        <v>63</v>
      </c>
      <c r="B152">
        <v>20</v>
      </c>
      <c r="C152" t="s">
        <v>87</v>
      </c>
      <c r="D152" t="s">
        <v>676</v>
      </c>
      <c r="E152">
        <v>3</v>
      </c>
      <c r="F152">
        <v>30</v>
      </c>
      <c r="G152">
        <v>30</v>
      </c>
      <c r="H152">
        <v>0</v>
      </c>
    </row>
    <row r="153" spans="1:8" x14ac:dyDescent="0.25">
      <c r="A153" t="s">
        <v>66</v>
      </c>
      <c r="B153">
        <v>20</v>
      </c>
      <c r="C153" t="s">
        <v>87</v>
      </c>
      <c r="D153" t="s">
        <v>612</v>
      </c>
      <c r="E153">
        <v>0</v>
      </c>
      <c r="F153">
        <v>0</v>
      </c>
      <c r="G153">
        <v>0</v>
      </c>
      <c r="H153">
        <v>0</v>
      </c>
    </row>
    <row r="154" spans="1:8" x14ac:dyDescent="0.25">
      <c r="A154" t="s">
        <v>66</v>
      </c>
      <c r="B154">
        <v>20</v>
      </c>
      <c r="C154" t="s">
        <v>87</v>
      </c>
      <c r="D154" t="s">
        <v>678</v>
      </c>
      <c r="E154">
        <v>0</v>
      </c>
      <c r="F154">
        <v>0</v>
      </c>
      <c r="G154">
        <v>0</v>
      </c>
      <c r="H154">
        <v>0</v>
      </c>
    </row>
    <row r="155" spans="1:8" x14ac:dyDescent="0.25">
      <c r="A155" t="s">
        <v>67</v>
      </c>
      <c r="B155">
        <v>20</v>
      </c>
      <c r="C155" t="s">
        <v>87</v>
      </c>
      <c r="D155" t="s">
        <v>679</v>
      </c>
      <c r="E155">
        <v>0</v>
      </c>
      <c r="F155">
        <v>0</v>
      </c>
      <c r="G155">
        <v>0</v>
      </c>
      <c r="H155">
        <v>0</v>
      </c>
    </row>
    <row r="156" spans="1:8" x14ac:dyDescent="0.25">
      <c r="A156" t="s">
        <v>67</v>
      </c>
      <c r="B156">
        <v>20</v>
      </c>
      <c r="C156" t="s">
        <v>87</v>
      </c>
      <c r="D156" t="s">
        <v>680</v>
      </c>
      <c r="E156">
        <v>0</v>
      </c>
      <c r="F156">
        <v>0</v>
      </c>
      <c r="G156">
        <v>0</v>
      </c>
      <c r="H156">
        <v>0</v>
      </c>
    </row>
    <row r="157" spans="1:8" x14ac:dyDescent="0.25">
      <c r="A157" t="s">
        <v>4</v>
      </c>
      <c r="B157">
        <v>20</v>
      </c>
      <c r="C157" t="s">
        <v>88</v>
      </c>
      <c r="D157" t="s">
        <v>632</v>
      </c>
      <c r="E157">
        <v>3</v>
      </c>
      <c r="F157">
        <v>20</v>
      </c>
      <c r="G157">
        <v>20</v>
      </c>
      <c r="H157">
        <v>0</v>
      </c>
    </row>
    <row r="158" spans="1:8" x14ac:dyDescent="0.25">
      <c r="A158" t="s">
        <v>20</v>
      </c>
      <c r="B158">
        <v>20</v>
      </c>
      <c r="C158" t="s">
        <v>88</v>
      </c>
      <c r="D158" t="s">
        <v>681</v>
      </c>
      <c r="E158">
        <v>3</v>
      </c>
      <c r="F158">
        <v>29</v>
      </c>
      <c r="G158">
        <v>29</v>
      </c>
      <c r="H158">
        <v>0</v>
      </c>
    </row>
    <row r="159" spans="1:8" x14ac:dyDescent="0.25">
      <c r="A159" t="s">
        <v>27</v>
      </c>
      <c r="B159">
        <v>20</v>
      </c>
      <c r="C159" t="s">
        <v>88</v>
      </c>
      <c r="D159" t="s">
        <v>648</v>
      </c>
      <c r="E159">
        <v>0</v>
      </c>
      <c r="F159">
        <v>0</v>
      </c>
      <c r="G159">
        <v>0</v>
      </c>
      <c r="H159">
        <v>0</v>
      </c>
    </row>
    <row r="160" spans="1:8" x14ac:dyDescent="0.25">
      <c r="A160" t="s">
        <v>27</v>
      </c>
      <c r="B160">
        <v>20</v>
      </c>
      <c r="C160" t="s">
        <v>88</v>
      </c>
      <c r="D160" t="s">
        <v>682</v>
      </c>
      <c r="E160">
        <v>0</v>
      </c>
      <c r="F160">
        <v>0</v>
      </c>
      <c r="G160">
        <v>0</v>
      </c>
      <c r="H160">
        <v>0</v>
      </c>
    </row>
    <row r="161" spans="1:8" x14ac:dyDescent="0.25">
      <c r="A161" t="s">
        <v>52</v>
      </c>
      <c r="B161">
        <v>20</v>
      </c>
      <c r="C161" t="s">
        <v>88</v>
      </c>
      <c r="D161" t="s">
        <v>613</v>
      </c>
      <c r="E161">
        <v>0</v>
      </c>
      <c r="F161">
        <v>0</v>
      </c>
      <c r="G161">
        <v>0</v>
      </c>
      <c r="H161">
        <v>0</v>
      </c>
    </row>
    <row r="162" spans="1:8" x14ac:dyDescent="0.25">
      <c r="A162" t="s">
        <v>52</v>
      </c>
      <c r="B162">
        <v>20</v>
      </c>
      <c r="C162" t="s">
        <v>88</v>
      </c>
      <c r="D162" t="s">
        <v>683</v>
      </c>
      <c r="E162">
        <v>0</v>
      </c>
      <c r="F162">
        <v>0</v>
      </c>
      <c r="G162">
        <v>0</v>
      </c>
      <c r="H162">
        <v>0</v>
      </c>
    </row>
    <row r="163" spans="1:8" x14ac:dyDescent="0.25">
      <c r="A163" t="s">
        <v>54</v>
      </c>
      <c r="B163">
        <v>20</v>
      </c>
      <c r="C163" t="s">
        <v>88</v>
      </c>
      <c r="D163" t="s">
        <v>599</v>
      </c>
      <c r="E163">
        <v>0</v>
      </c>
      <c r="F163">
        <v>0</v>
      </c>
      <c r="G163">
        <v>0</v>
      </c>
      <c r="H163">
        <v>0</v>
      </c>
    </row>
    <row r="164" spans="1:8" x14ac:dyDescent="0.25">
      <c r="A164" t="s">
        <v>54</v>
      </c>
      <c r="B164">
        <v>20</v>
      </c>
      <c r="C164" t="s">
        <v>88</v>
      </c>
      <c r="D164" t="s">
        <v>684</v>
      </c>
      <c r="E164">
        <v>0</v>
      </c>
      <c r="F164">
        <v>0</v>
      </c>
      <c r="G164">
        <v>0</v>
      </c>
      <c r="H164">
        <v>0</v>
      </c>
    </row>
    <row r="165" spans="1:8" x14ac:dyDescent="0.25">
      <c r="A165" t="s">
        <v>56</v>
      </c>
      <c r="B165">
        <v>20</v>
      </c>
      <c r="C165" t="s">
        <v>88</v>
      </c>
      <c r="D165" t="s">
        <v>627</v>
      </c>
      <c r="E165">
        <v>3</v>
      </c>
      <c r="F165">
        <v>20</v>
      </c>
      <c r="G165">
        <v>20</v>
      </c>
      <c r="H165">
        <v>0</v>
      </c>
    </row>
    <row r="166" spans="1:8" x14ac:dyDescent="0.25">
      <c r="A166" t="s">
        <v>58</v>
      </c>
      <c r="B166">
        <v>20</v>
      </c>
      <c r="C166" t="s">
        <v>88</v>
      </c>
      <c r="D166" t="s">
        <v>685</v>
      </c>
      <c r="E166">
        <v>3</v>
      </c>
      <c r="F166">
        <v>24</v>
      </c>
      <c r="G166">
        <v>24</v>
      </c>
      <c r="H166">
        <v>0</v>
      </c>
    </row>
    <row r="167" spans="1:8" x14ac:dyDescent="0.25">
      <c r="A167" t="s">
        <v>596</v>
      </c>
      <c r="B167">
        <v>20</v>
      </c>
      <c r="C167" t="s">
        <v>88</v>
      </c>
      <c r="D167" t="s">
        <v>618</v>
      </c>
      <c r="E167">
        <v>0</v>
      </c>
      <c r="F167">
        <v>0</v>
      </c>
      <c r="G167">
        <v>0</v>
      </c>
      <c r="H167">
        <v>0</v>
      </c>
    </row>
    <row r="168" spans="1:8" x14ac:dyDescent="0.25">
      <c r="A168" t="s">
        <v>596</v>
      </c>
      <c r="B168">
        <v>20</v>
      </c>
      <c r="C168" t="s">
        <v>88</v>
      </c>
      <c r="D168" t="s">
        <v>590</v>
      </c>
      <c r="E168">
        <v>0</v>
      </c>
      <c r="F168">
        <v>0</v>
      </c>
      <c r="G168">
        <v>0</v>
      </c>
      <c r="H168">
        <v>0</v>
      </c>
    </row>
    <row r="169" spans="1:8" x14ac:dyDescent="0.25">
      <c r="A169" t="s">
        <v>60</v>
      </c>
      <c r="B169">
        <v>20</v>
      </c>
      <c r="C169" t="s">
        <v>88</v>
      </c>
      <c r="D169" t="s">
        <v>641</v>
      </c>
      <c r="E169">
        <v>3</v>
      </c>
      <c r="F169">
        <v>20</v>
      </c>
      <c r="G169">
        <v>20</v>
      </c>
      <c r="H169">
        <v>0</v>
      </c>
    </row>
    <row r="170" spans="1:8" x14ac:dyDescent="0.25">
      <c r="A170" t="s">
        <v>61</v>
      </c>
      <c r="B170">
        <v>20</v>
      </c>
      <c r="C170" t="s">
        <v>88</v>
      </c>
      <c r="D170" t="s">
        <v>686</v>
      </c>
      <c r="E170">
        <v>0</v>
      </c>
      <c r="F170">
        <v>0</v>
      </c>
      <c r="G170">
        <v>0</v>
      </c>
      <c r="H170">
        <v>0</v>
      </c>
    </row>
    <row r="171" spans="1:8" x14ac:dyDescent="0.25">
      <c r="A171" t="s">
        <v>61</v>
      </c>
      <c r="B171">
        <v>20</v>
      </c>
      <c r="C171" t="s">
        <v>88</v>
      </c>
      <c r="D171" t="s">
        <v>687</v>
      </c>
      <c r="E171">
        <v>0</v>
      </c>
      <c r="F171">
        <v>0</v>
      </c>
      <c r="G171">
        <v>0</v>
      </c>
      <c r="H171">
        <v>0</v>
      </c>
    </row>
    <row r="172" spans="1:8" x14ac:dyDescent="0.25">
      <c r="A172" t="s">
        <v>62</v>
      </c>
      <c r="B172">
        <v>20</v>
      </c>
      <c r="C172" t="s">
        <v>88</v>
      </c>
      <c r="D172" t="s">
        <v>688</v>
      </c>
      <c r="E172">
        <v>0</v>
      </c>
      <c r="F172">
        <v>0</v>
      </c>
      <c r="G172">
        <v>0</v>
      </c>
      <c r="H172">
        <v>0</v>
      </c>
    </row>
    <row r="173" spans="1:8" x14ac:dyDescent="0.25">
      <c r="A173" t="s">
        <v>62</v>
      </c>
      <c r="B173">
        <v>20</v>
      </c>
      <c r="C173" t="s">
        <v>88</v>
      </c>
      <c r="D173" t="s">
        <v>689</v>
      </c>
      <c r="E173">
        <v>0</v>
      </c>
      <c r="F173">
        <v>0</v>
      </c>
      <c r="G173">
        <v>0</v>
      </c>
      <c r="H173">
        <v>0</v>
      </c>
    </row>
    <row r="174" spans="1:8" x14ac:dyDescent="0.25">
      <c r="A174" t="s">
        <v>63</v>
      </c>
      <c r="B174">
        <v>20</v>
      </c>
      <c r="C174" t="s">
        <v>88</v>
      </c>
      <c r="D174" t="s">
        <v>595</v>
      </c>
      <c r="E174">
        <v>3</v>
      </c>
      <c r="F174">
        <v>30</v>
      </c>
      <c r="G174">
        <v>30</v>
      </c>
      <c r="H174">
        <v>0</v>
      </c>
    </row>
    <row r="175" spans="1:8" x14ac:dyDescent="0.25">
      <c r="A175" t="s">
        <v>66</v>
      </c>
      <c r="B175">
        <v>20</v>
      </c>
      <c r="C175" t="s">
        <v>88</v>
      </c>
      <c r="D175" t="s">
        <v>687</v>
      </c>
      <c r="E175">
        <v>0</v>
      </c>
      <c r="F175">
        <v>0</v>
      </c>
      <c r="G175">
        <v>0</v>
      </c>
      <c r="H175">
        <v>0</v>
      </c>
    </row>
    <row r="176" spans="1:8" x14ac:dyDescent="0.25">
      <c r="A176" t="s">
        <v>66</v>
      </c>
      <c r="B176">
        <v>20</v>
      </c>
      <c r="C176" t="s">
        <v>88</v>
      </c>
      <c r="D176" t="s">
        <v>690</v>
      </c>
      <c r="E176">
        <v>0</v>
      </c>
      <c r="F176">
        <v>0</v>
      </c>
      <c r="G176">
        <v>0</v>
      </c>
      <c r="H176">
        <v>0</v>
      </c>
    </row>
    <row r="177" spans="1:8" x14ac:dyDescent="0.25">
      <c r="A177" t="s">
        <v>67</v>
      </c>
      <c r="B177">
        <v>20</v>
      </c>
      <c r="C177" t="s">
        <v>88</v>
      </c>
      <c r="D177" t="s">
        <v>660</v>
      </c>
      <c r="E177">
        <v>0</v>
      </c>
      <c r="F177">
        <v>0</v>
      </c>
      <c r="G177">
        <v>0</v>
      </c>
      <c r="H177">
        <v>0</v>
      </c>
    </row>
    <row r="178" spans="1:8" x14ac:dyDescent="0.25">
      <c r="A178" t="s">
        <v>67</v>
      </c>
      <c r="B178">
        <v>20</v>
      </c>
      <c r="C178" t="s">
        <v>88</v>
      </c>
      <c r="D178" t="s">
        <v>691</v>
      </c>
      <c r="E178">
        <v>0</v>
      </c>
      <c r="F178">
        <v>0</v>
      </c>
      <c r="G178">
        <v>0</v>
      </c>
      <c r="H178">
        <v>0</v>
      </c>
    </row>
    <row r="179" spans="1:8" x14ac:dyDescent="0.25">
      <c r="A179" t="s">
        <v>4</v>
      </c>
      <c r="B179">
        <v>20</v>
      </c>
      <c r="C179" t="s">
        <v>89</v>
      </c>
      <c r="D179" t="s">
        <v>636</v>
      </c>
      <c r="E179">
        <v>3</v>
      </c>
      <c r="F179">
        <v>21</v>
      </c>
      <c r="G179">
        <v>21</v>
      </c>
      <c r="H179">
        <v>0</v>
      </c>
    </row>
    <row r="180" spans="1:8" x14ac:dyDescent="0.25">
      <c r="A180" t="s">
        <v>20</v>
      </c>
      <c r="B180">
        <v>20</v>
      </c>
      <c r="C180" t="s">
        <v>89</v>
      </c>
      <c r="D180" t="s">
        <v>588</v>
      </c>
      <c r="E180">
        <v>3</v>
      </c>
      <c r="F180">
        <v>30</v>
      </c>
      <c r="G180">
        <v>30</v>
      </c>
      <c r="H180">
        <v>0</v>
      </c>
    </row>
    <row r="181" spans="1:8" x14ac:dyDescent="0.25">
      <c r="A181" t="s">
        <v>27</v>
      </c>
      <c r="B181">
        <v>20</v>
      </c>
      <c r="C181" t="s">
        <v>89</v>
      </c>
      <c r="D181" t="s">
        <v>610</v>
      </c>
      <c r="E181">
        <v>0</v>
      </c>
      <c r="F181">
        <v>0</v>
      </c>
      <c r="G181">
        <v>0</v>
      </c>
      <c r="H181">
        <v>0</v>
      </c>
    </row>
    <row r="182" spans="1:8" x14ac:dyDescent="0.25">
      <c r="A182" t="s">
        <v>27</v>
      </c>
      <c r="B182">
        <v>20</v>
      </c>
      <c r="C182" t="s">
        <v>89</v>
      </c>
      <c r="D182" t="s">
        <v>692</v>
      </c>
      <c r="E182">
        <v>0</v>
      </c>
      <c r="F182">
        <v>0</v>
      </c>
      <c r="G182">
        <v>0</v>
      </c>
      <c r="H182">
        <v>0</v>
      </c>
    </row>
    <row r="183" spans="1:8" x14ac:dyDescent="0.25">
      <c r="A183" t="s">
        <v>52</v>
      </c>
      <c r="B183">
        <v>20</v>
      </c>
      <c r="C183" t="s">
        <v>89</v>
      </c>
      <c r="D183" t="s">
        <v>610</v>
      </c>
      <c r="E183">
        <v>0</v>
      </c>
      <c r="F183">
        <v>0</v>
      </c>
      <c r="G183">
        <v>0</v>
      </c>
      <c r="H183">
        <v>0</v>
      </c>
    </row>
    <row r="184" spans="1:8" x14ac:dyDescent="0.25">
      <c r="A184" t="s">
        <v>52</v>
      </c>
      <c r="B184">
        <v>20</v>
      </c>
      <c r="C184" t="s">
        <v>89</v>
      </c>
      <c r="D184" t="s">
        <v>693</v>
      </c>
      <c r="E184">
        <v>0</v>
      </c>
      <c r="F184">
        <v>0</v>
      </c>
      <c r="G184">
        <v>0</v>
      </c>
      <c r="H184">
        <v>0</v>
      </c>
    </row>
    <row r="185" spans="1:8" x14ac:dyDescent="0.25">
      <c r="A185" t="s">
        <v>54</v>
      </c>
      <c r="B185">
        <v>20</v>
      </c>
      <c r="C185" t="s">
        <v>89</v>
      </c>
      <c r="D185" t="s">
        <v>654</v>
      </c>
      <c r="E185">
        <v>0</v>
      </c>
      <c r="F185">
        <v>0</v>
      </c>
      <c r="G185">
        <v>0</v>
      </c>
      <c r="H185">
        <v>0</v>
      </c>
    </row>
    <row r="186" spans="1:8" x14ac:dyDescent="0.25">
      <c r="A186" t="s">
        <v>54</v>
      </c>
      <c r="B186">
        <v>20</v>
      </c>
      <c r="C186" t="s">
        <v>89</v>
      </c>
      <c r="D186" t="s">
        <v>694</v>
      </c>
      <c r="E186">
        <v>0</v>
      </c>
      <c r="F186">
        <v>0</v>
      </c>
      <c r="G186">
        <v>0</v>
      </c>
      <c r="H186">
        <v>0</v>
      </c>
    </row>
    <row r="187" spans="1:8" x14ac:dyDescent="0.25">
      <c r="A187" t="s">
        <v>56</v>
      </c>
      <c r="B187">
        <v>20</v>
      </c>
      <c r="C187" t="s">
        <v>89</v>
      </c>
      <c r="D187" t="s">
        <v>615</v>
      </c>
      <c r="E187">
        <v>3</v>
      </c>
      <c r="F187">
        <v>21</v>
      </c>
      <c r="G187">
        <v>21</v>
      </c>
      <c r="H187">
        <v>0</v>
      </c>
    </row>
    <row r="188" spans="1:8" x14ac:dyDescent="0.25">
      <c r="A188" t="s">
        <v>58</v>
      </c>
      <c r="B188">
        <v>20</v>
      </c>
      <c r="C188" t="s">
        <v>89</v>
      </c>
      <c r="D188" t="s">
        <v>619</v>
      </c>
      <c r="E188">
        <v>3</v>
      </c>
      <c r="F188">
        <v>24</v>
      </c>
      <c r="G188">
        <v>24</v>
      </c>
      <c r="H188">
        <v>0</v>
      </c>
    </row>
    <row r="189" spans="1:8" x14ac:dyDescent="0.25">
      <c r="A189" t="s">
        <v>596</v>
      </c>
      <c r="B189">
        <v>20</v>
      </c>
      <c r="C189" t="s">
        <v>89</v>
      </c>
      <c r="D189" t="s">
        <v>667</v>
      </c>
      <c r="E189">
        <v>0</v>
      </c>
      <c r="F189">
        <v>0</v>
      </c>
      <c r="G189">
        <v>0</v>
      </c>
      <c r="H189">
        <v>0</v>
      </c>
    </row>
    <row r="190" spans="1:8" x14ac:dyDescent="0.25">
      <c r="A190" t="s">
        <v>596</v>
      </c>
      <c r="B190">
        <v>20</v>
      </c>
      <c r="C190" t="s">
        <v>89</v>
      </c>
      <c r="D190" t="s">
        <v>592</v>
      </c>
      <c r="E190">
        <v>0</v>
      </c>
      <c r="F190">
        <v>0</v>
      </c>
      <c r="G190">
        <v>0</v>
      </c>
      <c r="H190">
        <v>0</v>
      </c>
    </row>
    <row r="191" spans="1:8" x14ac:dyDescent="0.25">
      <c r="A191" t="s">
        <v>61</v>
      </c>
      <c r="B191">
        <v>20</v>
      </c>
      <c r="C191" t="s">
        <v>89</v>
      </c>
      <c r="D191" t="s">
        <v>617</v>
      </c>
      <c r="E191">
        <v>0</v>
      </c>
      <c r="F191">
        <v>0</v>
      </c>
      <c r="G191">
        <v>0</v>
      </c>
      <c r="H191">
        <v>0</v>
      </c>
    </row>
    <row r="192" spans="1:8" x14ac:dyDescent="0.25">
      <c r="A192" t="s">
        <v>61</v>
      </c>
      <c r="B192">
        <v>20</v>
      </c>
      <c r="C192" t="s">
        <v>89</v>
      </c>
      <c r="D192" t="s">
        <v>695</v>
      </c>
      <c r="E192">
        <v>0</v>
      </c>
      <c r="F192">
        <v>0</v>
      </c>
      <c r="G192">
        <v>0</v>
      </c>
      <c r="H192">
        <v>0</v>
      </c>
    </row>
    <row r="193" spans="1:8" x14ac:dyDescent="0.25">
      <c r="A193" t="s">
        <v>62</v>
      </c>
      <c r="B193">
        <v>20</v>
      </c>
      <c r="C193" t="s">
        <v>89</v>
      </c>
      <c r="D193" t="s">
        <v>696</v>
      </c>
      <c r="E193">
        <v>0</v>
      </c>
      <c r="F193">
        <v>0</v>
      </c>
      <c r="G193">
        <v>0</v>
      </c>
      <c r="H193">
        <v>0</v>
      </c>
    </row>
    <row r="194" spans="1:8" x14ac:dyDescent="0.25">
      <c r="A194" t="s">
        <v>62</v>
      </c>
      <c r="B194">
        <v>20</v>
      </c>
      <c r="C194" t="s">
        <v>89</v>
      </c>
      <c r="D194" t="s">
        <v>590</v>
      </c>
      <c r="E194">
        <v>0</v>
      </c>
      <c r="F194">
        <v>0</v>
      </c>
      <c r="G194">
        <v>0</v>
      </c>
      <c r="H194">
        <v>0</v>
      </c>
    </row>
    <row r="195" spans="1:8" x14ac:dyDescent="0.25">
      <c r="A195" t="s">
        <v>63</v>
      </c>
      <c r="B195">
        <v>20</v>
      </c>
      <c r="C195" t="s">
        <v>89</v>
      </c>
      <c r="D195" t="s">
        <v>697</v>
      </c>
      <c r="E195">
        <v>3</v>
      </c>
      <c r="F195">
        <v>26</v>
      </c>
      <c r="G195">
        <v>26</v>
      </c>
      <c r="H195">
        <v>0</v>
      </c>
    </row>
    <row r="196" spans="1:8" x14ac:dyDescent="0.25">
      <c r="A196" t="s">
        <v>66</v>
      </c>
      <c r="B196">
        <v>20</v>
      </c>
      <c r="C196" t="s">
        <v>89</v>
      </c>
      <c r="D196" t="s">
        <v>615</v>
      </c>
      <c r="E196">
        <v>0</v>
      </c>
      <c r="F196">
        <v>0</v>
      </c>
      <c r="G196">
        <v>0</v>
      </c>
      <c r="H196">
        <v>0</v>
      </c>
    </row>
    <row r="197" spans="1:8" x14ac:dyDescent="0.25">
      <c r="A197" t="s">
        <v>66</v>
      </c>
      <c r="B197">
        <v>20</v>
      </c>
      <c r="C197" t="s">
        <v>89</v>
      </c>
      <c r="D197" t="s">
        <v>602</v>
      </c>
      <c r="E197">
        <v>0</v>
      </c>
      <c r="F197">
        <v>0</v>
      </c>
      <c r="G197">
        <v>0</v>
      </c>
      <c r="H197">
        <v>0</v>
      </c>
    </row>
    <row r="198" spans="1:8" x14ac:dyDescent="0.25">
      <c r="A198" t="s">
        <v>67</v>
      </c>
      <c r="B198">
        <v>20</v>
      </c>
      <c r="C198" t="s">
        <v>89</v>
      </c>
      <c r="D198" t="s">
        <v>656</v>
      </c>
      <c r="E198">
        <v>0</v>
      </c>
      <c r="F198">
        <v>0</v>
      </c>
      <c r="G198">
        <v>0</v>
      </c>
      <c r="H198">
        <v>0</v>
      </c>
    </row>
    <row r="199" spans="1:8" x14ac:dyDescent="0.25">
      <c r="A199" t="s">
        <v>67</v>
      </c>
      <c r="B199">
        <v>20</v>
      </c>
      <c r="C199" t="s">
        <v>89</v>
      </c>
      <c r="D199" t="s">
        <v>698</v>
      </c>
      <c r="E199">
        <v>0</v>
      </c>
      <c r="F199">
        <v>0</v>
      </c>
      <c r="G199">
        <v>0</v>
      </c>
      <c r="H199">
        <v>0</v>
      </c>
    </row>
    <row r="200" spans="1:8" x14ac:dyDescent="0.25">
      <c r="A200" t="s">
        <v>4</v>
      </c>
      <c r="B200">
        <v>20</v>
      </c>
      <c r="C200" t="s">
        <v>90</v>
      </c>
      <c r="D200" t="s">
        <v>588</v>
      </c>
      <c r="E200">
        <v>3</v>
      </c>
      <c r="F200">
        <v>21</v>
      </c>
      <c r="G200">
        <v>21</v>
      </c>
      <c r="H200">
        <v>0</v>
      </c>
    </row>
    <row r="201" spans="1:8" x14ac:dyDescent="0.25">
      <c r="A201" t="s">
        <v>20</v>
      </c>
      <c r="B201">
        <v>20</v>
      </c>
      <c r="C201" t="s">
        <v>90</v>
      </c>
      <c r="D201" t="s">
        <v>613</v>
      </c>
      <c r="E201">
        <v>3</v>
      </c>
      <c r="F201">
        <v>30</v>
      </c>
      <c r="G201">
        <v>30</v>
      </c>
      <c r="H201">
        <v>0</v>
      </c>
    </row>
    <row r="202" spans="1:8" x14ac:dyDescent="0.25">
      <c r="A202" t="s">
        <v>27</v>
      </c>
      <c r="B202">
        <v>20</v>
      </c>
      <c r="C202" t="s">
        <v>90</v>
      </c>
      <c r="D202" t="s">
        <v>616</v>
      </c>
      <c r="E202">
        <v>0</v>
      </c>
      <c r="F202">
        <v>0</v>
      </c>
      <c r="G202">
        <v>0</v>
      </c>
      <c r="H202">
        <v>0</v>
      </c>
    </row>
    <row r="203" spans="1:8" x14ac:dyDescent="0.25">
      <c r="A203" t="s">
        <v>27</v>
      </c>
      <c r="B203">
        <v>20</v>
      </c>
      <c r="C203" t="s">
        <v>90</v>
      </c>
      <c r="D203" t="s">
        <v>661</v>
      </c>
      <c r="E203">
        <v>0</v>
      </c>
      <c r="F203">
        <v>0</v>
      </c>
      <c r="G203">
        <v>0</v>
      </c>
      <c r="H203">
        <v>0</v>
      </c>
    </row>
    <row r="204" spans="1:8" x14ac:dyDescent="0.25">
      <c r="A204" t="s">
        <v>52</v>
      </c>
      <c r="B204">
        <v>20</v>
      </c>
      <c r="C204" t="s">
        <v>90</v>
      </c>
      <c r="D204" t="s">
        <v>621</v>
      </c>
      <c r="E204">
        <v>0</v>
      </c>
      <c r="F204">
        <v>0</v>
      </c>
      <c r="G204">
        <v>0</v>
      </c>
      <c r="H204">
        <v>0</v>
      </c>
    </row>
    <row r="205" spans="1:8" x14ac:dyDescent="0.25">
      <c r="A205" t="s">
        <v>52</v>
      </c>
      <c r="B205">
        <v>20</v>
      </c>
      <c r="C205" t="s">
        <v>90</v>
      </c>
      <c r="D205" t="s">
        <v>699</v>
      </c>
      <c r="E205">
        <v>0</v>
      </c>
      <c r="F205">
        <v>0</v>
      </c>
      <c r="G205">
        <v>0</v>
      </c>
      <c r="H205">
        <v>0</v>
      </c>
    </row>
    <row r="206" spans="1:8" x14ac:dyDescent="0.25">
      <c r="A206" t="s">
        <v>54</v>
      </c>
      <c r="B206">
        <v>20</v>
      </c>
      <c r="C206" t="s">
        <v>90</v>
      </c>
      <c r="D206" t="s">
        <v>641</v>
      </c>
      <c r="E206">
        <v>0</v>
      </c>
      <c r="F206">
        <v>0</v>
      </c>
      <c r="G206">
        <v>0</v>
      </c>
      <c r="H206">
        <v>0</v>
      </c>
    </row>
    <row r="207" spans="1:8" x14ac:dyDescent="0.25">
      <c r="A207" t="s">
        <v>54</v>
      </c>
      <c r="B207">
        <v>20</v>
      </c>
      <c r="C207" t="s">
        <v>90</v>
      </c>
      <c r="D207" t="s">
        <v>700</v>
      </c>
      <c r="E207">
        <v>0</v>
      </c>
      <c r="F207">
        <v>0</v>
      </c>
      <c r="G207">
        <v>0</v>
      </c>
      <c r="H207">
        <v>0</v>
      </c>
    </row>
    <row r="208" spans="1:8" x14ac:dyDescent="0.25">
      <c r="A208" t="s">
        <v>56</v>
      </c>
      <c r="B208">
        <v>20</v>
      </c>
      <c r="C208" t="s">
        <v>90</v>
      </c>
      <c r="D208" t="s">
        <v>615</v>
      </c>
      <c r="E208">
        <v>3</v>
      </c>
      <c r="F208">
        <v>21</v>
      </c>
      <c r="G208">
        <v>21</v>
      </c>
      <c r="H208">
        <v>0</v>
      </c>
    </row>
    <row r="209" spans="1:8" x14ac:dyDescent="0.25">
      <c r="A209" t="s">
        <v>58</v>
      </c>
      <c r="B209">
        <v>20</v>
      </c>
      <c r="C209" t="s">
        <v>90</v>
      </c>
      <c r="D209" t="s">
        <v>609</v>
      </c>
      <c r="E209">
        <v>3</v>
      </c>
      <c r="F209">
        <v>24</v>
      </c>
      <c r="G209">
        <v>24</v>
      </c>
      <c r="H209">
        <v>0</v>
      </c>
    </row>
    <row r="210" spans="1:8" x14ac:dyDescent="0.25">
      <c r="A210" t="s">
        <v>596</v>
      </c>
      <c r="B210">
        <v>20</v>
      </c>
      <c r="C210" t="s">
        <v>90</v>
      </c>
      <c r="D210" t="s">
        <v>614</v>
      </c>
      <c r="E210">
        <v>0</v>
      </c>
      <c r="F210">
        <v>0</v>
      </c>
      <c r="G210">
        <v>0</v>
      </c>
      <c r="H210">
        <v>0</v>
      </c>
    </row>
    <row r="211" spans="1:8" x14ac:dyDescent="0.25">
      <c r="A211" t="s">
        <v>596</v>
      </c>
      <c r="B211">
        <v>20</v>
      </c>
      <c r="C211" t="s">
        <v>90</v>
      </c>
      <c r="D211" t="s">
        <v>627</v>
      </c>
      <c r="E211">
        <v>0</v>
      </c>
      <c r="F211">
        <v>0</v>
      </c>
      <c r="G211">
        <v>0</v>
      </c>
      <c r="H211">
        <v>0</v>
      </c>
    </row>
    <row r="212" spans="1:8" x14ac:dyDescent="0.25">
      <c r="A212" t="s">
        <v>61</v>
      </c>
      <c r="B212">
        <v>20</v>
      </c>
      <c r="C212" t="s">
        <v>90</v>
      </c>
      <c r="D212" t="s">
        <v>615</v>
      </c>
      <c r="E212">
        <v>0</v>
      </c>
      <c r="F212">
        <v>0</v>
      </c>
      <c r="G212">
        <v>0</v>
      </c>
      <c r="H212">
        <v>0</v>
      </c>
    </row>
    <row r="213" spans="1:8" x14ac:dyDescent="0.25">
      <c r="A213" t="s">
        <v>61</v>
      </c>
      <c r="B213">
        <v>20</v>
      </c>
      <c r="C213" t="s">
        <v>90</v>
      </c>
      <c r="D213" t="s">
        <v>679</v>
      </c>
      <c r="E213">
        <v>0</v>
      </c>
      <c r="F213">
        <v>0</v>
      </c>
      <c r="G213">
        <v>0</v>
      </c>
      <c r="H213">
        <v>0</v>
      </c>
    </row>
    <row r="214" spans="1:8" x14ac:dyDescent="0.25">
      <c r="A214" t="s">
        <v>62</v>
      </c>
      <c r="B214">
        <v>20</v>
      </c>
      <c r="C214" t="s">
        <v>90</v>
      </c>
      <c r="D214" t="s">
        <v>616</v>
      </c>
      <c r="E214">
        <v>0</v>
      </c>
      <c r="F214">
        <v>0</v>
      </c>
      <c r="G214">
        <v>0</v>
      </c>
      <c r="H214">
        <v>0</v>
      </c>
    </row>
    <row r="215" spans="1:8" x14ac:dyDescent="0.25">
      <c r="A215" t="s">
        <v>62</v>
      </c>
      <c r="B215">
        <v>20</v>
      </c>
      <c r="C215" t="s">
        <v>90</v>
      </c>
      <c r="D215" t="s">
        <v>692</v>
      </c>
      <c r="E215">
        <v>0</v>
      </c>
      <c r="F215">
        <v>0</v>
      </c>
      <c r="G215">
        <v>0</v>
      </c>
      <c r="H215">
        <v>0</v>
      </c>
    </row>
    <row r="216" spans="1:8" x14ac:dyDescent="0.25">
      <c r="A216" t="s">
        <v>63</v>
      </c>
      <c r="B216">
        <v>20</v>
      </c>
      <c r="C216" t="s">
        <v>90</v>
      </c>
      <c r="D216" t="s">
        <v>649</v>
      </c>
      <c r="E216">
        <v>3</v>
      </c>
      <c r="F216">
        <v>29</v>
      </c>
      <c r="G216">
        <v>29</v>
      </c>
      <c r="H216">
        <v>0</v>
      </c>
    </row>
    <row r="217" spans="1:8" x14ac:dyDescent="0.25">
      <c r="A217" t="s">
        <v>66</v>
      </c>
      <c r="B217">
        <v>20</v>
      </c>
      <c r="C217" t="s">
        <v>90</v>
      </c>
      <c r="D217" t="s">
        <v>647</v>
      </c>
      <c r="E217">
        <v>0</v>
      </c>
      <c r="F217">
        <v>0</v>
      </c>
      <c r="G217">
        <v>0</v>
      </c>
      <c r="H217">
        <v>0</v>
      </c>
    </row>
    <row r="218" spans="1:8" x14ac:dyDescent="0.25">
      <c r="A218" t="s">
        <v>66</v>
      </c>
      <c r="B218">
        <v>20</v>
      </c>
      <c r="C218" t="s">
        <v>90</v>
      </c>
      <c r="D218" t="s">
        <v>701</v>
      </c>
      <c r="E218">
        <v>0</v>
      </c>
      <c r="F218">
        <v>0</v>
      </c>
      <c r="G218">
        <v>0</v>
      </c>
      <c r="H218">
        <v>0</v>
      </c>
    </row>
    <row r="219" spans="1:8" x14ac:dyDescent="0.25">
      <c r="A219" t="s">
        <v>67</v>
      </c>
      <c r="B219">
        <v>20</v>
      </c>
      <c r="C219" t="s">
        <v>90</v>
      </c>
      <c r="D219" t="s">
        <v>641</v>
      </c>
      <c r="E219">
        <v>0</v>
      </c>
      <c r="F219">
        <v>0</v>
      </c>
      <c r="G219">
        <v>0</v>
      </c>
      <c r="H219">
        <v>0</v>
      </c>
    </row>
    <row r="220" spans="1:8" x14ac:dyDescent="0.25">
      <c r="A220" t="s">
        <v>67</v>
      </c>
      <c r="B220">
        <v>20</v>
      </c>
      <c r="C220" t="s">
        <v>90</v>
      </c>
      <c r="D220" t="s">
        <v>702</v>
      </c>
      <c r="E220">
        <v>0</v>
      </c>
      <c r="F220">
        <v>0</v>
      </c>
      <c r="G220">
        <v>0</v>
      </c>
      <c r="H220">
        <v>0</v>
      </c>
    </row>
    <row r="221" spans="1:8" x14ac:dyDescent="0.25">
      <c r="A221" t="s">
        <v>4</v>
      </c>
      <c r="B221">
        <v>20</v>
      </c>
      <c r="C221" t="s">
        <v>91</v>
      </c>
      <c r="D221" t="s">
        <v>604</v>
      </c>
      <c r="E221">
        <v>3</v>
      </c>
      <c r="F221">
        <v>21</v>
      </c>
      <c r="G221">
        <v>21</v>
      </c>
      <c r="H221">
        <v>0</v>
      </c>
    </row>
    <row r="222" spans="1:8" x14ac:dyDescent="0.25">
      <c r="A222" t="s">
        <v>20</v>
      </c>
      <c r="B222">
        <v>20</v>
      </c>
      <c r="C222" t="s">
        <v>91</v>
      </c>
      <c r="D222" t="s">
        <v>669</v>
      </c>
      <c r="E222">
        <v>3</v>
      </c>
      <c r="F222">
        <v>30</v>
      </c>
      <c r="G222">
        <v>30</v>
      </c>
      <c r="H222">
        <v>0</v>
      </c>
    </row>
    <row r="223" spans="1:8" x14ac:dyDescent="0.25">
      <c r="A223" t="s">
        <v>27</v>
      </c>
      <c r="B223">
        <v>20</v>
      </c>
      <c r="C223" t="s">
        <v>91</v>
      </c>
      <c r="D223" t="s">
        <v>615</v>
      </c>
      <c r="E223">
        <v>0</v>
      </c>
      <c r="F223">
        <v>0</v>
      </c>
      <c r="G223">
        <v>0</v>
      </c>
      <c r="H223">
        <v>0</v>
      </c>
    </row>
    <row r="224" spans="1:8" x14ac:dyDescent="0.25">
      <c r="A224" t="s">
        <v>27</v>
      </c>
      <c r="B224">
        <v>20</v>
      </c>
      <c r="C224" t="s">
        <v>91</v>
      </c>
      <c r="D224" t="s">
        <v>625</v>
      </c>
      <c r="E224">
        <v>0</v>
      </c>
      <c r="F224">
        <v>0</v>
      </c>
      <c r="G224">
        <v>0</v>
      </c>
      <c r="H224">
        <v>0</v>
      </c>
    </row>
    <row r="225" spans="1:8" x14ac:dyDescent="0.25">
      <c r="A225" t="s">
        <v>52</v>
      </c>
      <c r="B225">
        <v>20</v>
      </c>
      <c r="C225" t="s">
        <v>91</v>
      </c>
      <c r="D225" t="s">
        <v>703</v>
      </c>
      <c r="E225">
        <v>0</v>
      </c>
      <c r="F225">
        <v>0</v>
      </c>
      <c r="G225">
        <v>0</v>
      </c>
      <c r="H225">
        <v>0</v>
      </c>
    </row>
    <row r="226" spans="1:8" x14ac:dyDescent="0.25">
      <c r="A226" t="s">
        <v>52</v>
      </c>
      <c r="B226">
        <v>20</v>
      </c>
      <c r="C226" t="s">
        <v>91</v>
      </c>
      <c r="D226" t="s">
        <v>660</v>
      </c>
      <c r="E226">
        <v>0</v>
      </c>
      <c r="F226">
        <v>0</v>
      </c>
      <c r="G226">
        <v>0</v>
      </c>
      <c r="H226">
        <v>0</v>
      </c>
    </row>
    <row r="227" spans="1:8" x14ac:dyDescent="0.25">
      <c r="A227" t="s">
        <v>54</v>
      </c>
      <c r="B227">
        <v>20</v>
      </c>
      <c r="C227" t="s">
        <v>91</v>
      </c>
      <c r="D227" t="s">
        <v>686</v>
      </c>
      <c r="E227">
        <v>0</v>
      </c>
      <c r="F227">
        <v>0</v>
      </c>
      <c r="G227">
        <v>0</v>
      </c>
      <c r="H227">
        <v>0</v>
      </c>
    </row>
    <row r="228" spans="1:8" x14ac:dyDescent="0.25">
      <c r="A228" t="s">
        <v>54</v>
      </c>
      <c r="B228">
        <v>20</v>
      </c>
      <c r="C228" t="s">
        <v>91</v>
      </c>
      <c r="D228" t="s">
        <v>628</v>
      </c>
      <c r="E228">
        <v>0</v>
      </c>
      <c r="F228">
        <v>0</v>
      </c>
      <c r="G228">
        <v>0</v>
      </c>
      <c r="H228">
        <v>0</v>
      </c>
    </row>
    <row r="229" spans="1:8" x14ac:dyDescent="0.25">
      <c r="A229" t="s">
        <v>56</v>
      </c>
      <c r="B229">
        <v>20</v>
      </c>
      <c r="C229" t="s">
        <v>91</v>
      </c>
      <c r="D229" t="s">
        <v>621</v>
      </c>
      <c r="E229">
        <v>3</v>
      </c>
      <c r="F229">
        <v>20</v>
      </c>
      <c r="G229">
        <v>20</v>
      </c>
      <c r="H229">
        <v>0</v>
      </c>
    </row>
    <row r="230" spans="1:8" x14ac:dyDescent="0.25">
      <c r="A230" t="s">
        <v>58</v>
      </c>
      <c r="B230">
        <v>20</v>
      </c>
      <c r="C230" t="s">
        <v>91</v>
      </c>
      <c r="D230" t="s">
        <v>704</v>
      </c>
      <c r="E230">
        <v>3</v>
      </c>
      <c r="F230">
        <v>24</v>
      </c>
      <c r="G230">
        <v>24</v>
      </c>
      <c r="H230">
        <v>0</v>
      </c>
    </row>
    <row r="231" spans="1:8" x14ac:dyDescent="0.25">
      <c r="A231" t="s">
        <v>596</v>
      </c>
      <c r="B231">
        <v>20</v>
      </c>
      <c r="C231" t="s">
        <v>91</v>
      </c>
      <c r="D231" t="s">
        <v>705</v>
      </c>
      <c r="E231">
        <v>0</v>
      </c>
      <c r="F231">
        <v>0</v>
      </c>
      <c r="G231">
        <v>0</v>
      </c>
      <c r="H231">
        <v>0</v>
      </c>
    </row>
    <row r="232" spans="1:8" x14ac:dyDescent="0.25">
      <c r="A232" t="s">
        <v>596</v>
      </c>
      <c r="B232">
        <v>20</v>
      </c>
      <c r="C232" t="s">
        <v>91</v>
      </c>
      <c r="D232" t="s">
        <v>648</v>
      </c>
      <c r="E232">
        <v>0</v>
      </c>
      <c r="F232">
        <v>0</v>
      </c>
      <c r="G232">
        <v>0</v>
      </c>
      <c r="H232">
        <v>0</v>
      </c>
    </row>
    <row r="233" spans="1:8" x14ac:dyDescent="0.25">
      <c r="A233" t="s">
        <v>60</v>
      </c>
      <c r="B233">
        <v>20</v>
      </c>
      <c r="C233" t="s">
        <v>91</v>
      </c>
      <c r="D233" t="s">
        <v>645</v>
      </c>
      <c r="E233">
        <v>3</v>
      </c>
      <c r="F233">
        <v>18</v>
      </c>
      <c r="G233">
        <v>18</v>
      </c>
      <c r="H233">
        <v>0</v>
      </c>
    </row>
    <row r="234" spans="1:8" x14ac:dyDescent="0.25">
      <c r="A234" t="s">
        <v>61</v>
      </c>
      <c r="B234">
        <v>20</v>
      </c>
      <c r="C234" t="s">
        <v>91</v>
      </c>
      <c r="D234" t="s">
        <v>629</v>
      </c>
      <c r="E234">
        <v>0</v>
      </c>
      <c r="F234">
        <v>0</v>
      </c>
      <c r="G234">
        <v>0</v>
      </c>
      <c r="H234">
        <v>0</v>
      </c>
    </row>
    <row r="235" spans="1:8" x14ac:dyDescent="0.25">
      <c r="A235" t="s">
        <v>61</v>
      </c>
      <c r="B235">
        <v>20</v>
      </c>
      <c r="C235" t="s">
        <v>91</v>
      </c>
      <c r="D235" t="s">
        <v>688</v>
      </c>
      <c r="E235">
        <v>0</v>
      </c>
      <c r="F235">
        <v>0</v>
      </c>
      <c r="G235">
        <v>0</v>
      </c>
      <c r="H235">
        <v>0</v>
      </c>
    </row>
    <row r="236" spans="1:8" x14ac:dyDescent="0.25">
      <c r="A236" t="s">
        <v>62</v>
      </c>
      <c r="B236">
        <v>20</v>
      </c>
      <c r="C236" t="s">
        <v>91</v>
      </c>
      <c r="D236" t="s">
        <v>621</v>
      </c>
      <c r="E236">
        <v>0</v>
      </c>
      <c r="F236">
        <v>0</v>
      </c>
      <c r="G236">
        <v>0</v>
      </c>
      <c r="H236">
        <v>0</v>
      </c>
    </row>
    <row r="237" spans="1:8" x14ac:dyDescent="0.25">
      <c r="A237" t="s">
        <v>62</v>
      </c>
      <c r="B237">
        <v>20</v>
      </c>
      <c r="C237" t="s">
        <v>91</v>
      </c>
      <c r="D237" t="s">
        <v>706</v>
      </c>
      <c r="E237">
        <v>0</v>
      </c>
      <c r="F237">
        <v>0</v>
      </c>
      <c r="G237">
        <v>0</v>
      </c>
      <c r="H237">
        <v>0</v>
      </c>
    </row>
    <row r="238" spans="1:8" x14ac:dyDescent="0.25">
      <c r="A238" t="s">
        <v>63</v>
      </c>
      <c r="B238">
        <v>20</v>
      </c>
      <c r="C238" t="s">
        <v>91</v>
      </c>
      <c r="D238" t="s">
        <v>609</v>
      </c>
      <c r="E238">
        <v>3</v>
      </c>
      <c r="F238">
        <v>30</v>
      </c>
      <c r="G238">
        <v>30</v>
      </c>
      <c r="H238">
        <v>0</v>
      </c>
    </row>
    <row r="239" spans="1:8" x14ac:dyDescent="0.25">
      <c r="A239" t="s">
        <v>66</v>
      </c>
      <c r="B239">
        <v>20</v>
      </c>
      <c r="C239" t="s">
        <v>91</v>
      </c>
      <c r="D239" t="s">
        <v>616</v>
      </c>
      <c r="E239">
        <v>0</v>
      </c>
      <c r="F239">
        <v>0</v>
      </c>
      <c r="G239">
        <v>0</v>
      </c>
      <c r="H239">
        <v>0</v>
      </c>
    </row>
    <row r="240" spans="1:8" x14ac:dyDescent="0.25">
      <c r="A240" t="s">
        <v>66</v>
      </c>
      <c r="B240">
        <v>20</v>
      </c>
      <c r="C240" t="s">
        <v>91</v>
      </c>
      <c r="D240" t="s">
        <v>707</v>
      </c>
      <c r="E240">
        <v>0</v>
      </c>
      <c r="F240">
        <v>0</v>
      </c>
      <c r="G240">
        <v>0</v>
      </c>
      <c r="H240">
        <v>0</v>
      </c>
    </row>
    <row r="241" spans="1:8" x14ac:dyDescent="0.25">
      <c r="A241" t="s">
        <v>67</v>
      </c>
      <c r="B241">
        <v>20</v>
      </c>
      <c r="C241" t="s">
        <v>91</v>
      </c>
      <c r="D241" t="s">
        <v>708</v>
      </c>
      <c r="E241">
        <v>0</v>
      </c>
      <c r="F241">
        <v>0</v>
      </c>
      <c r="G241">
        <v>0</v>
      </c>
      <c r="H241">
        <v>0</v>
      </c>
    </row>
    <row r="242" spans="1:8" x14ac:dyDescent="0.25">
      <c r="A242" t="s">
        <v>67</v>
      </c>
      <c r="B242">
        <v>20</v>
      </c>
      <c r="C242" t="s">
        <v>91</v>
      </c>
      <c r="D242" t="s">
        <v>709</v>
      </c>
      <c r="E242">
        <v>0</v>
      </c>
      <c r="F242">
        <v>0</v>
      </c>
      <c r="G242">
        <v>0</v>
      </c>
      <c r="H242">
        <v>0</v>
      </c>
    </row>
    <row r="243" spans="1:8" x14ac:dyDescent="0.25">
      <c r="A243" t="s">
        <v>4</v>
      </c>
      <c r="B243">
        <v>20</v>
      </c>
      <c r="C243" t="s">
        <v>92</v>
      </c>
      <c r="D243" t="s">
        <v>615</v>
      </c>
      <c r="E243">
        <v>3</v>
      </c>
      <c r="F243">
        <v>21</v>
      </c>
      <c r="G243">
        <v>21</v>
      </c>
      <c r="H243">
        <v>0</v>
      </c>
    </row>
    <row r="244" spans="1:8" x14ac:dyDescent="0.25">
      <c r="A244" t="s">
        <v>20</v>
      </c>
      <c r="B244">
        <v>20</v>
      </c>
      <c r="C244" t="s">
        <v>92</v>
      </c>
      <c r="D244" t="s">
        <v>688</v>
      </c>
      <c r="E244">
        <v>3</v>
      </c>
      <c r="F244">
        <v>30</v>
      </c>
      <c r="G244">
        <v>30</v>
      </c>
      <c r="H244">
        <v>0</v>
      </c>
    </row>
    <row r="245" spans="1:8" x14ac:dyDescent="0.25">
      <c r="A245" t="s">
        <v>27</v>
      </c>
      <c r="B245">
        <v>20</v>
      </c>
      <c r="C245" t="s">
        <v>92</v>
      </c>
      <c r="D245" t="s">
        <v>606</v>
      </c>
      <c r="E245">
        <v>0</v>
      </c>
      <c r="F245">
        <v>0</v>
      </c>
      <c r="G245">
        <v>0</v>
      </c>
      <c r="H245">
        <v>0</v>
      </c>
    </row>
    <row r="246" spans="1:8" x14ac:dyDescent="0.25">
      <c r="A246" t="s">
        <v>27</v>
      </c>
      <c r="B246">
        <v>20</v>
      </c>
      <c r="C246" t="s">
        <v>92</v>
      </c>
      <c r="D246" t="s">
        <v>651</v>
      </c>
      <c r="E246">
        <v>0</v>
      </c>
      <c r="F246">
        <v>0</v>
      </c>
      <c r="G246">
        <v>0</v>
      </c>
      <c r="H246">
        <v>0</v>
      </c>
    </row>
    <row r="247" spans="1:8" x14ac:dyDescent="0.25">
      <c r="A247" t="s">
        <v>52</v>
      </c>
      <c r="B247">
        <v>20</v>
      </c>
      <c r="C247" t="s">
        <v>92</v>
      </c>
      <c r="D247" t="s">
        <v>640</v>
      </c>
      <c r="E247">
        <v>0</v>
      </c>
      <c r="F247">
        <v>0</v>
      </c>
      <c r="G247">
        <v>0</v>
      </c>
      <c r="H247">
        <v>0</v>
      </c>
    </row>
    <row r="248" spans="1:8" x14ac:dyDescent="0.25">
      <c r="A248" t="s">
        <v>52</v>
      </c>
      <c r="B248">
        <v>20</v>
      </c>
      <c r="C248" t="s">
        <v>92</v>
      </c>
      <c r="D248" t="s">
        <v>710</v>
      </c>
      <c r="E248">
        <v>0</v>
      </c>
      <c r="F248">
        <v>0</v>
      </c>
      <c r="G248">
        <v>0</v>
      </c>
      <c r="H248">
        <v>0</v>
      </c>
    </row>
    <row r="249" spans="1:8" x14ac:dyDescent="0.25">
      <c r="A249" t="s">
        <v>54</v>
      </c>
      <c r="B249">
        <v>20</v>
      </c>
      <c r="C249" t="s">
        <v>92</v>
      </c>
      <c r="D249" t="s">
        <v>605</v>
      </c>
      <c r="E249">
        <v>0</v>
      </c>
      <c r="F249">
        <v>0</v>
      </c>
      <c r="G249">
        <v>0</v>
      </c>
      <c r="H249">
        <v>0</v>
      </c>
    </row>
    <row r="250" spans="1:8" x14ac:dyDescent="0.25">
      <c r="A250" t="s">
        <v>54</v>
      </c>
      <c r="B250">
        <v>20</v>
      </c>
      <c r="C250" t="s">
        <v>92</v>
      </c>
      <c r="D250" t="s">
        <v>600</v>
      </c>
      <c r="E250">
        <v>0</v>
      </c>
      <c r="F250">
        <v>0</v>
      </c>
      <c r="G250">
        <v>0</v>
      </c>
      <c r="H250">
        <v>0</v>
      </c>
    </row>
    <row r="251" spans="1:8" x14ac:dyDescent="0.25">
      <c r="A251" t="s">
        <v>56</v>
      </c>
      <c r="B251">
        <v>20</v>
      </c>
      <c r="C251" t="s">
        <v>92</v>
      </c>
      <c r="D251" t="s">
        <v>606</v>
      </c>
      <c r="E251">
        <v>3</v>
      </c>
      <c r="F251">
        <v>21</v>
      </c>
      <c r="G251">
        <v>21</v>
      </c>
      <c r="H251">
        <v>0</v>
      </c>
    </row>
    <row r="252" spans="1:8" x14ac:dyDescent="0.25">
      <c r="A252" t="s">
        <v>58</v>
      </c>
      <c r="B252">
        <v>20</v>
      </c>
      <c r="C252" t="s">
        <v>92</v>
      </c>
      <c r="D252" t="s">
        <v>657</v>
      </c>
      <c r="E252">
        <v>3</v>
      </c>
      <c r="F252">
        <v>24</v>
      </c>
      <c r="G252">
        <v>24</v>
      </c>
      <c r="H252">
        <v>0</v>
      </c>
    </row>
    <row r="253" spans="1:8" x14ac:dyDescent="0.25">
      <c r="A253" t="s">
        <v>596</v>
      </c>
      <c r="B253">
        <v>20</v>
      </c>
      <c r="C253" t="s">
        <v>92</v>
      </c>
      <c r="D253" t="s">
        <v>711</v>
      </c>
      <c r="E253">
        <v>0</v>
      </c>
      <c r="F253">
        <v>0</v>
      </c>
      <c r="G253">
        <v>0</v>
      </c>
      <c r="H253">
        <v>0</v>
      </c>
    </row>
    <row r="254" spans="1:8" x14ac:dyDescent="0.25">
      <c r="A254" t="s">
        <v>596</v>
      </c>
      <c r="B254">
        <v>20</v>
      </c>
      <c r="C254" t="s">
        <v>92</v>
      </c>
      <c r="D254" t="s">
        <v>645</v>
      </c>
      <c r="E254">
        <v>0</v>
      </c>
      <c r="F254">
        <v>0</v>
      </c>
      <c r="G254">
        <v>0</v>
      </c>
      <c r="H254">
        <v>0</v>
      </c>
    </row>
    <row r="255" spans="1:8" x14ac:dyDescent="0.25">
      <c r="A255" t="s">
        <v>61</v>
      </c>
      <c r="B255">
        <v>20</v>
      </c>
      <c r="C255" t="s">
        <v>92</v>
      </c>
      <c r="D255" t="s">
        <v>586</v>
      </c>
      <c r="E255">
        <v>0</v>
      </c>
      <c r="F255">
        <v>0</v>
      </c>
      <c r="G255">
        <v>0</v>
      </c>
      <c r="H255">
        <v>0</v>
      </c>
    </row>
    <row r="256" spans="1:8" x14ac:dyDescent="0.25">
      <c r="A256" t="s">
        <v>61</v>
      </c>
      <c r="B256">
        <v>20</v>
      </c>
      <c r="C256" t="s">
        <v>92</v>
      </c>
      <c r="D256" t="s">
        <v>712</v>
      </c>
      <c r="E256">
        <v>0</v>
      </c>
      <c r="F256">
        <v>0</v>
      </c>
      <c r="G256">
        <v>0</v>
      </c>
      <c r="H256">
        <v>0</v>
      </c>
    </row>
    <row r="257" spans="1:8" x14ac:dyDescent="0.25">
      <c r="A257" t="s">
        <v>62</v>
      </c>
      <c r="B257">
        <v>20</v>
      </c>
      <c r="C257" t="s">
        <v>92</v>
      </c>
      <c r="D257" t="s">
        <v>669</v>
      </c>
      <c r="E257">
        <v>0</v>
      </c>
      <c r="F257">
        <v>0</v>
      </c>
      <c r="G257">
        <v>0</v>
      </c>
      <c r="H257">
        <v>0</v>
      </c>
    </row>
    <row r="258" spans="1:8" x14ac:dyDescent="0.25">
      <c r="A258" t="s">
        <v>62</v>
      </c>
      <c r="B258">
        <v>20</v>
      </c>
      <c r="C258" t="s">
        <v>92</v>
      </c>
      <c r="D258" t="s">
        <v>625</v>
      </c>
      <c r="E258">
        <v>0</v>
      </c>
      <c r="F258">
        <v>0</v>
      </c>
      <c r="G258">
        <v>0</v>
      </c>
      <c r="H258">
        <v>0</v>
      </c>
    </row>
    <row r="259" spans="1:8" x14ac:dyDescent="0.25">
      <c r="A259" t="s">
        <v>63</v>
      </c>
      <c r="B259">
        <v>20</v>
      </c>
      <c r="C259" t="s">
        <v>92</v>
      </c>
      <c r="D259" t="s">
        <v>614</v>
      </c>
      <c r="E259">
        <v>3</v>
      </c>
      <c r="F259">
        <v>29</v>
      </c>
      <c r="G259">
        <v>29</v>
      </c>
      <c r="H259">
        <v>0</v>
      </c>
    </row>
    <row r="260" spans="1:8" x14ac:dyDescent="0.25">
      <c r="A260" t="s">
        <v>66</v>
      </c>
      <c r="B260">
        <v>20</v>
      </c>
      <c r="C260" t="s">
        <v>92</v>
      </c>
      <c r="D260" t="s">
        <v>606</v>
      </c>
      <c r="E260">
        <v>0</v>
      </c>
      <c r="F260">
        <v>0</v>
      </c>
      <c r="G260">
        <v>0</v>
      </c>
      <c r="H260">
        <v>0</v>
      </c>
    </row>
    <row r="261" spans="1:8" x14ac:dyDescent="0.25">
      <c r="A261" t="s">
        <v>66</v>
      </c>
      <c r="B261">
        <v>20</v>
      </c>
      <c r="C261" t="s">
        <v>92</v>
      </c>
      <c r="D261" t="s">
        <v>713</v>
      </c>
      <c r="E261">
        <v>0</v>
      </c>
      <c r="F261">
        <v>0</v>
      </c>
      <c r="G261">
        <v>0</v>
      </c>
      <c r="H261">
        <v>0</v>
      </c>
    </row>
    <row r="262" spans="1:8" x14ac:dyDescent="0.25">
      <c r="A262" t="s">
        <v>67</v>
      </c>
      <c r="B262">
        <v>20</v>
      </c>
      <c r="C262" t="s">
        <v>92</v>
      </c>
      <c r="D262" t="s">
        <v>671</v>
      </c>
      <c r="E262">
        <v>0</v>
      </c>
      <c r="F262">
        <v>0</v>
      </c>
      <c r="G262">
        <v>0</v>
      </c>
      <c r="H262">
        <v>0</v>
      </c>
    </row>
    <row r="263" spans="1:8" x14ac:dyDescent="0.25">
      <c r="A263" t="s">
        <v>67</v>
      </c>
      <c r="B263">
        <v>20</v>
      </c>
      <c r="C263" t="s">
        <v>92</v>
      </c>
      <c r="D263" t="s">
        <v>714</v>
      </c>
      <c r="E263">
        <v>0</v>
      </c>
      <c r="F263">
        <v>0</v>
      </c>
      <c r="G263">
        <v>0</v>
      </c>
      <c r="H263">
        <v>0</v>
      </c>
    </row>
    <row r="264" spans="1:8" x14ac:dyDescent="0.25">
      <c r="A264" t="s">
        <v>4</v>
      </c>
      <c r="B264">
        <v>20</v>
      </c>
      <c r="C264" t="s">
        <v>93</v>
      </c>
      <c r="D264" t="s">
        <v>663</v>
      </c>
      <c r="E264">
        <v>3</v>
      </c>
      <c r="F264">
        <v>21</v>
      </c>
      <c r="G264">
        <v>21</v>
      </c>
      <c r="H264">
        <v>0</v>
      </c>
    </row>
    <row r="265" spans="1:8" x14ac:dyDescent="0.25">
      <c r="A265" t="s">
        <v>20</v>
      </c>
      <c r="B265">
        <v>20</v>
      </c>
      <c r="C265" t="s">
        <v>93</v>
      </c>
      <c r="D265" t="s">
        <v>715</v>
      </c>
      <c r="E265">
        <v>3</v>
      </c>
      <c r="F265">
        <v>30</v>
      </c>
      <c r="G265">
        <v>30</v>
      </c>
      <c r="H265">
        <v>0</v>
      </c>
    </row>
    <row r="266" spans="1:8" x14ac:dyDescent="0.25">
      <c r="A266" t="s">
        <v>27</v>
      </c>
      <c r="B266">
        <v>20</v>
      </c>
      <c r="C266" t="s">
        <v>93</v>
      </c>
      <c r="D266" t="s">
        <v>641</v>
      </c>
      <c r="E266">
        <v>0</v>
      </c>
      <c r="F266">
        <v>0</v>
      </c>
      <c r="G266">
        <v>0</v>
      </c>
      <c r="H266">
        <v>0</v>
      </c>
    </row>
    <row r="267" spans="1:8" x14ac:dyDescent="0.25">
      <c r="A267" t="s">
        <v>27</v>
      </c>
      <c r="B267">
        <v>20</v>
      </c>
      <c r="C267" t="s">
        <v>93</v>
      </c>
      <c r="D267" t="s">
        <v>716</v>
      </c>
      <c r="E267">
        <v>0</v>
      </c>
      <c r="F267">
        <v>0</v>
      </c>
      <c r="G267">
        <v>0</v>
      </c>
      <c r="H267">
        <v>0</v>
      </c>
    </row>
    <row r="268" spans="1:8" x14ac:dyDescent="0.25">
      <c r="A268" t="s">
        <v>52</v>
      </c>
      <c r="B268">
        <v>20</v>
      </c>
      <c r="C268" t="s">
        <v>93</v>
      </c>
      <c r="D268" t="s">
        <v>632</v>
      </c>
      <c r="E268">
        <v>0</v>
      </c>
      <c r="F268">
        <v>0</v>
      </c>
      <c r="G268">
        <v>0</v>
      </c>
      <c r="H268">
        <v>0</v>
      </c>
    </row>
    <row r="269" spans="1:8" x14ac:dyDescent="0.25">
      <c r="A269" t="s">
        <v>52</v>
      </c>
      <c r="B269">
        <v>20</v>
      </c>
      <c r="C269" t="s">
        <v>93</v>
      </c>
      <c r="D269" t="s">
        <v>717</v>
      </c>
      <c r="E269">
        <v>0</v>
      </c>
      <c r="F269">
        <v>0</v>
      </c>
      <c r="G269">
        <v>0</v>
      </c>
      <c r="H269">
        <v>0</v>
      </c>
    </row>
    <row r="270" spans="1:8" x14ac:dyDescent="0.25">
      <c r="A270" t="s">
        <v>54</v>
      </c>
      <c r="B270">
        <v>20</v>
      </c>
      <c r="C270" t="s">
        <v>93</v>
      </c>
      <c r="D270" t="s">
        <v>625</v>
      </c>
      <c r="E270">
        <v>0</v>
      </c>
      <c r="F270">
        <v>0</v>
      </c>
      <c r="G270">
        <v>0</v>
      </c>
      <c r="H270">
        <v>0</v>
      </c>
    </row>
    <row r="271" spans="1:8" x14ac:dyDescent="0.25">
      <c r="A271" t="s">
        <v>54</v>
      </c>
      <c r="B271">
        <v>20</v>
      </c>
      <c r="C271" t="s">
        <v>93</v>
      </c>
      <c r="D271" t="s">
        <v>659</v>
      </c>
      <c r="E271">
        <v>0</v>
      </c>
      <c r="F271">
        <v>0</v>
      </c>
      <c r="G271">
        <v>0</v>
      </c>
      <c r="H271">
        <v>0</v>
      </c>
    </row>
    <row r="272" spans="1:8" x14ac:dyDescent="0.25">
      <c r="A272" t="s">
        <v>56</v>
      </c>
      <c r="B272">
        <v>20</v>
      </c>
      <c r="C272" t="s">
        <v>93</v>
      </c>
      <c r="D272" t="s">
        <v>664</v>
      </c>
      <c r="E272">
        <v>3</v>
      </c>
      <c r="F272">
        <v>20</v>
      </c>
      <c r="G272">
        <v>20</v>
      </c>
      <c r="H272">
        <v>0</v>
      </c>
    </row>
    <row r="273" spans="1:8" x14ac:dyDescent="0.25">
      <c r="A273" t="s">
        <v>58</v>
      </c>
      <c r="B273">
        <v>20</v>
      </c>
      <c r="C273" t="s">
        <v>93</v>
      </c>
      <c r="D273" t="s">
        <v>703</v>
      </c>
      <c r="E273">
        <v>3</v>
      </c>
      <c r="F273">
        <v>24</v>
      </c>
      <c r="G273">
        <v>24</v>
      </c>
      <c r="H273">
        <v>0</v>
      </c>
    </row>
    <row r="274" spans="1:8" x14ac:dyDescent="0.25">
      <c r="A274" t="s">
        <v>596</v>
      </c>
      <c r="B274">
        <v>20</v>
      </c>
      <c r="C274" t="s">
        <v>93</v>
      </c>
      <c r="D274" t="s">
        <v>673</v>
      </c>
      <c r="E274">
        <v>0</v>
      </c>
      <c r="F274">
        <v>0</v>
      </c>
      <c r="G274">
        <v>0</v>
      </c>
      <c r="H274">
        <v>0</v>
      </c>
    </row>
    <row r="275" spans="1:8" x14ac:dyDescent="0.25">
      <c r="A275" t="s">
        <v>596</v>
      </c>
      <c r="B275">
        <v>20</v>
      </c>
      <c r="C275" t="s">
        <v>93</v>
      </c>
      <c r="D275" t="s">
        <v>718</v>
      </c>
      <c r="E275">
        <v>0</v>
      </c>
      <c r="F275">
        <v>0</v>
      </c>
      <c r="G275">
        <v>0</v>
      </c>
      <c r="H275">
        <v>0</v>
      </c>
    </row>
    <row r="276" spans="1:8" x14ac:dyDescent="0.25">
      <c r="A276" t="s">
        <v>61</v>
      </c>
      <c r="B276">
        <v>20</v>
      </c>
      <c r="C276" t="s">
        <v>93</v>
      </c>
      <c r="D276" t="s">
        <v>606</v>
      </c>
      <c r="E276">
        <v>0</v>
      </c>
      <c r="F276">
        <v>0</v>
      </c>
      <c r="G276">
        <v>0</v>
      </c>
      <c r="H276">
        <v>0</v>
      </c>
    </row>
    <row r="277" spans="1:8" x14ac:dyDescent="0.25">
      <c r="A277" t="s">
        <v>61</v>
      </c>
      <c r="B277">
        <v>20</v>
      </c>
      <c r="C277" t="s">
        <v>93</v>
      </c>
      <c r="D277" t="s">
        <v>625</v>
      </c>
      <c r="E277">
        <v>0</v>
      </c>
      <c r="F277">
        <v>0</v>
      </c>
      <c r="G277">
        <v>0</v>
      </c>
      <c r="H277">
        <v>0</v>
      </c>
    </row>
    <row r="278" spans="1:8" x14ac:dyDescent="0.25">
      <c r="A278" t="s">
        <v>62</v>
      </c>
      <c r="B278">
        <v>20</v>
      </c>
      <c r="C278" t="s">
        <v>93</v>
      </c>
      <c r="D278" t="s">
        <v>624</v>
      </c>
      <c r="E278">
        <v>0</v>
      </c>
      <c r="F278">
        <v>0</v>
      </c>
      <c r="G278">
        <v>0</v>
      </c>
      <c r="H278">
        <v>0</v>
      </c>
    </row>
    <row r="279" spans="1:8" x14ac:dyDescent="0.25">
      <c r="A279" t="s">
        <v>62</v>
      </c>
      <c r="B279">
        <v>20</v>
      </c>
      <c r="C279" t="s">
        <v>93</v>
      </c>
      <c r="D279" t="s">
        <v>701</v>
      </c>
      <c r="E279">
        <v>0</v>
      </c>
      <c r="F279">
        <v>0</v>
      </c>
      <c r="G279">
        <v>0</v>
      </c>
      <c r="H279">
        <v>0</v>
      </c>
    </row>
    <row r="280" spans="1:8" x14ac:dyDescent="0.25">
      <c r="A280" t="s">
        <v>63</v>
      </c>
      <c r="B280">
        <v>20</v>
      </c>
      <c r="C280" t="s">
        <v>93</v>
      </c>
      <c r="D280" t="s">
        <v>664</v>
      </c>
      <c r="E280">
        <v>3</v>
      </c>
      <c r="F280">
        <v>30</v>
      </c>
      <c r="G280">
        <v>30</v>
      </c>
      <c r="H280">
        <v>0</v>
      </c>
    </row>
    <row r="281" spans="1:8" x14ac:dyDescent="0.25">
      <c r="A281" t="s">
        <v>66</v>
      </c>
      <c r="B281">
        <v>20</v>
      </c>
      <c r="C281" t="s">
        <v>93</v>
      </c>
      <c r="D281" t="s">
        <v>668</v>
      </c>
      <c r="E281">
        <v>0</v>
      </c>
      <c r="F281">
        <v>0</v>
      </c>
      <c r="G281">
        <v>0</v>
      </c>
      <c r="H281">
        <v>0</v>
      </c>
    </row>
    <row r="282" spans="1:8" x14ac:dyDescent="0.25">
      <c r="A282" t="s">
        <v>66</v>
      </c>
      <c r="B282">
        <v>20</v>
      </c>
      <c r="C282" t="s">
        <v>93</v>
      </c>
      <c r="D282" t="s">
        <v>719</v>
      </c>
      <c r="E282">
        <v>0</v>
      </c>
      <c r="F282">
        <v>0</v>
      </c>
      <c r="G282">
        <v>0</v>
      </c>
      <c r="H282">
        <v>0</v>
      </c>
    </row>
    <row r="283" spans="1:8" x14ac:dyDescent="0.25">
      <c r="A283" t="s">
        <v>67</v>
      </c>
      <c r="B283">
        <v>20</v>
      </c>
      <c r="C283" t="s">
        <v>93</v>
      </c>
      <c r="D283" t="s">
        <v>652</v>
      </c>
      <c r="E283">
        <v>0</v>
      </c>
      <c r="F283">
        <v>0</v>
      </c>
      <c r="G283">
        <v>0</v>
      </c>
      <c r="H283">
        <v>0</v>
      </c>
    </row>
    <row r="284" spans="1:8" x14ac:dyDescent="0.25">
      <c r="A284" t="s">
        <v>67</v>
      </c>
      <c r="B284">
        <v>20</v>
      </c>
      <c r="C284" t="s">
        <v>93</v>
      </c>
      <c r="D284" t="s">
        <v>720</v>
      </c>
      <c r="E284">
        <v>0</v>
      </c>
      <c r="F284">
        <v>0</v>
      </c>
      <c r="G284">
        <v>0</v>
      </c>
      <c r="H284">
        <v>0</v>
      </c>
    </row>
    <row r="285" spans="1:8" x14ac:dyDescent="0.25">
      <c r="A285" t="s">
        <v>4</v>
      </c>
      <c r="B285">
        <v>20</v>
      </c>
      <c r="C285" t="s">
        <v>94</v>
      </c>
      <c r="D285" t="s">
        <v>614</v>
      </c>
      <c r="E285">
        <v>3</v>
      </c>
      <c r="F285">
        <v>21</v>
      </c>
      <c r="G285">
        <v>21</v>
      </c>
      <c r="H285">
        <v>0</v>
      </c>
    </row>
    <row r="286" spans="1:8" x14ac:dyDescent="0.25">
      <c r="A286" t="s">
        <v>20</v>
      </c>
      <c r="B286">
        <v>20</v>
      </c>
      <c r="C286" t="s">
        <v>94</v>
      </c>
      <c r="D286" t="s">
        <v>645</v>
      </c>
      <c r="E286">
        <v>3</v>
      </c>
      <c r="F286">
        <v>29</v>
      </c>
      <c r="G286">
        <v>29</v>
      </c>
      <c r="H286">
        <v>0</v>
      </c>
    </row>
    <row r="287" spans="1:8" x14ac:dyDescent="0.25">
      <c r="A287" t="s">
        <v>27</v>
      </c>
      <c r="B287">
        <v>20</v>
      </c>
      <c r="C287" t="s">
        <v>94</v>
      </c>
      <c r="D287" t="s">
        <v>615</v>
      </c>
      <c r="E287">
        <v>0</v>
      </c>
      <c r="F287">
        <v>0</v>
      </c>
      <c r="G287">
        <v>0</v>
      </c>
      <c r="H287">
        <v>0</v>
      </c>
    </row>
    <row r="288" spans="1:8" x14ac:dyDescent="0.25">
      <c r="A288" t="s">
        <v>27</v>
      </c>
      <c r="B288">
        <v>20</v>
      </c>
      <c r="C288" t="s">
        <v>94</v>
      </c>
      <c r="D288" t="s">
        <v>651</v>
      </c>
      <c r="E288">
        <v>0</v>
      </c>
      <c r="F288">
        <v>0</v>
      </c>
      <c r="G288">
        <v>0</v>
      </c>
      <c r="H288">
        <v>0</v>
      </c>
    </row>
    <row r="289" spans="1:8" x14ac:dyDescent="0.25">
      <c r="A289" t="s">
        <v>52</v>
      </c>
      <c r="B289">
        <v>20</v>
      </c>
      <c r="C289" t="s">
        <v>94</v>
      </c>
      <c r="D289" t="s">
        <v>621</v>
      </c>
      <c r="E289">
        <v>0</v>
      </c>
      <c r="F289">
        <v>0</v>
      </c>
      <c r="G289">
        <v>0</v>
      </c>
      <c r="H289">
        <v>0</v>
      </c>
    </row>
    <row r="290" spans="1:8" x14ac:dyDescent="0.25">
      <c r="A290" t="s">
        <v>52</v>
      </c>
      <c r="B290">
        <v>20</v>
      </c>
      <c r="C290" t="s">
        <v>94</v>
      </c>
      <c r="D290" t="s">
        <v>625</v>
      </c>
      <c r="E290">
        <v>0</v>
      </c>
      <c r="F290">
        <v>0</v>
      </c>
      <c r="G290">
        <v>0</v>
      </c>
      <c r="H290">
        <v>0</v>
      </c>
    </row>
    <row r="291" spans="1:8" x14ac:dyDescent="0.25">
      <c r="A291" t="s">
        <v>54</v>
      </c>
      <c r="B291">
        <v>20</v>
      </c>
      <c r="C291" t="s">
        <v>94</v>
      </c>
      <c r="D291" t="s">
        <v>616</v>
      </c>
      <c r="E291">
        <v>0</v>
      </c>
      <c r="F291">
        <v>0</v>
      </c>
      <c r="G291">
        <v>0</v>
      </c>
      <c r="H291">
        <v>0</v>
      </c>
    </row>
    <row r="292" spans="1:8" x14ac:dyDescent="0.25">
      <c r="A292" t="s">
        <v>54</v>
      </c>
      <c r="B292">
        <v>20</v>
      </c>
      <c r="C292" t="s">
        <v>94</v>
      </c>
      <c r="D292" t="s">
        <v>692</v>
      </c>
      <c r="E292">
        <v>0</v>
      </c>
      <c r="F292">
        <v>0</v>
      </c>
      <c r="G292">
        <v>0</v>
      </c>
      <c r="H292">
        <v>0</v>
      </c>
    </row>
    <row r="293" spans="1:8" x14ac:dyDescent="0.25">
      <c r="A293" t="s">
        <v>56</v>
      </c>
      <c r="B293">
        <v>20</v>
      </c>
      <c r="C293" t="s">
        <v>94</v>
      </c>
      <c r="D293" t="s">
        <v>601</v>
      </c>
      <c r="E293">
        <v>3</v>
      </c>
      <c r="F293">
        <v>19</v>
      </c>
      <c r="G293">
        <v>19</v>
      </c>
      <c r="H293">
        <v>0</v>
      </c>
    </row>
    <row r="294" spans="1:8" x14ac:dyDescent="0.25">
      <c r="A294" t="s">
        <v>58</v>
      </c>
      <c r="B294">
        <v>20</v>
      </c>
      <c r="C294" t="s">
        <v>94</v>
      </c>
      <c r="D294" t="s">
        <v>721</v>
      </c>
      <c r="E294">
        <v>3</v>
      </c>
      <c r="F294">
        <v>24</v>
      </c>
      <c r="G294">
        <v>24</v>
      </c>
      <c r="H294">
        <v>0</v>
      </c>
    </row>
    <row r="295" spans="1:8" x14ac:dyDescent="0.25">
      <c r="A295" t="s">
        <v>596</v>
      </c>
      <c r="B295">
        <v>20</v>
      </c>
      <c r="C295" t="s">
        <v>94</v>
      </c>
      <c r="D295" t="s">
        <v>704</v>
      </c>
      <c r="E295">
        <v>0</v>
      </c>
      <c r="F295">
        <v>0</v>
      </c>
      <c r="G295">
        <v>0</v>
      </c>
      <c r="H295">
        <v>0</v>
      </c>
    </row>
    <row r="296" spans="1:8" x14ac:dyDescent="0.25">
      <c r="A296" t="s">
        <v>596</v>
      </c>
      <c r="B296">
        <v>20</v>
      </c>
      <c r="C296" t="s">
        <v>94</v>
      </c>
      <c r="D296" t="s">
        <v>645</v>
      </c>
      <c r="E296">
        <v>0</v>
      </c>
      <c r="F296">
        <v>0</v>
      </c>
      <c r="G296">
        <v>0</v>
      </c>
      <c r="H296">
        <v>0</v>
      </c>
    </row>
    <row r="297" spans="1:8" x14ac:dyDescent="0.25">
      <c r="A297" t="s">
        <v>60</v>
      </c>
      <c r="B297">
        <v>20</v>
      </c>
      <c r="C297" t="s">
        <v>94</v>
      </c>
      <c r="D297" t="s">
        <v>685</v>
      </c>
      <c r="E297">
        <v>3</v>
      </c>
      <c r="F297">
        <v>20</v>
      </c>
      <c r="G297">
        <v>20</v>
      </c>
      <c r="H297">
        <v>0</v>
      </c>
    </row>
    <row r="298" spans="1:8" x14ac:dyDescent="0.25">
      <c r="A298" t="s">
        <v>61</v>
      </c>
      <c r="B298">
        <v>20</v>
      </c>
      <c r="C298" t="s">
        <v>94</v>
      </c>
      <c r="D298" t="s">
        <v>604</v>
      </c>
      <c r="E298">
        <v>0</v>
      </c>
      <c r="F298">
        <v>0</v>
      </c>
      <c r="G298">
        <v>0</v>
      </c>
      <c r="H298">
        <v>0</v>
      </c>
    </row>
    <row r="299" spans="1:8" x14ac:dyDescent="0.25">
      <c r="A299" t="s">
        <v>61</v>
      </c>
      <c r="B299">
        <v>20</v>
      </c>
      <c r="C299" t="s">
        <v>94</v>
      </c>
      <c r="D299" t="s">
        <v>592</v>
      </c>
      <c r="E299">
        <v>0</v>
      </c>
      <c r="F299">
        <v>0</v>
      </c>
      <c r="G299">
        <v>0</v>
      </c>
      <c r="H299">
        <v>0</v>
      </c>
    </row>
    <row r="300" spans="1:8" x14ac:dyDescent="0.25">
      <c r="A300" t="s">
        <v>62</v>
      </c>
      <c r="B300">
        <v>20</v>
      </c>
      <c r="C300" t="s">
        <v>94</v>
      </c>
      <c r="D300" t="s">
        <v>616</v>
      </c>
      <c r="E300">
        <v>0</v>
      </c>
      <c r="F300">
        <v>0</v>
      </c>
      <c r="G300">
        <v>0</v>
      </c>
      <c r="H300">
        <v>0</v>
      </c>
    </row>
    <row r="301" spans="1:8" x14ac:dyDescent="0.25">
      <c r="A301" t="s">
        <v>62</v>
      </c>
      <c r="B301">
        <v>20</v>
      </c>
      <c r="C301" t="s">
        <v>94</v>
      </c>
      <c r="D301" t="s">
        <v>602</v>
      </c>
      <c r="E301">
        <v>0</v>
      </c>
      <c r="F301">
        <v>0</v>
      </c>
      <c r="G301">
        <v>0</v>
      </c>
      <c r="H301">
        <v>0</v>
      </c>
    </row>
    <row r="302" spans="1:8" x14ac:dyDescent="0.25">
      <c r="A302" t="s">
        <v>63</v>
      </c>
      <c r="B302">
        <v>20</v>
      </c>
      <c r="C302" t="s">
        <v>94</v>
      </c>
      <c r="D302" t="s">
        <v>655</v>
      </c>
      <c r="E302">
        <v>3</v>
      </c>
      <c r="F302">
        <v>29</v>
      </c>
      <c r="G302">
        <v>29</v>
      </c>
      <c r="H302">
        <v>0</v>
      </c>
    </row>
    <row r="303" spans="1:8" x14ac:dyDescent="0.25">
      <c r="A303" t="s">
        <v>66</v>
      </c>
      <c r="B303">
        <v>20</v>
      </c>
      <c r="C303" t="s">
        <v>94</v>
      </c>
      <c r="D303" t="s">
        <v>703</v>
      </c>
      <c r="E303">
        <v>0</v>
      </c>
      <c r="F303">
        <v>0</v>
      </c>
      <c r="G303">
        <v>0</v>
      </c>
      <c r="H303">
        <v>0</v>
      </c>
    </row>
    <row r="304" spans="1:8" x14ac:dyDescent="0.25">
      <c r="A304" t="s">
        <v>66</v>
      </c>
      <c r="B304">
        <v>20</v>
      </c>
      <c r="C304" t="s">
        <v>94</v>
      </c>
      <c r="D304" t="s">
        <v>590</v>
      </c>
      <c r="E304">
        <v>0</v>
      </c>
      <c r="F304">
        <v>0</v>
      </c>
      <c r="G304">
        <v>0</v>
      </c>
      <c r="H304">
        <v>0</v>
      </c>
    </row>
    <row r="305" spans="1:8" x14ac:dyDescent="0.25">
      <c r="A305" t="s">
        <v>67</v>
      </c>
      <c r="B305">
        <v>20</v>
      </c>
      <c r="C305" t="s">
        <v>94</v>
      </c>
      <c r="D305" t="s">
        <v>722</v>
      </c>
      <c r="E305">
        <v>0</v>
      </c>
      <c r="F305">
        <v>0</v>
      </c>
      <c r="G305">
        <v>0</v>
      </c>
      <c r="H305">
        <v>0</v>
      </c>
    </row>
    <row r="306" spans="1:8" x14ac:dyDescent="0.25">
      <c r="A306" t="s">
        <v>67</v>
      </c>
      <c r="B306">
        <v>20</v>
      </c>
      <c r="C306" t="s">
        <v>94</v>
      </c>
      <c r="D306" t="s">
        <v>723</v>
      </c>
      <c r="E306">
        <v>0</v>
      </c>
      <c r="F306">
        <v>0</v>
      </c>
      <c r="G306">
        <v>0</v>
      </c>
      <c r="H306">
        <v>0</v>
      </c>
    </row>
    <row r="307" spans="1:8" x14ac:dyDescent="0.25">
      <c r="A307" t="s">
        <v>4</v>
      </c>
      <c r="B307">
        <v>20</v>
      </c>
      <c r="C307" t="s">
        <v>95</v>
      </c>
      <c r="D307" t="s">
        <v>604</v>
      </c>
      <c r="E307">
        <v>3</v>
      </c>
      <c r="F307">
        <v>21</v>
      </c>
      <c r="G307">
        <v>21</v>
      </c>
      <c r="H307">
        <v>0</v>
      </c>
    </row>
    <row r="308" spans="1:8" x14ac:dyDescent="0.25">
      <c r="A308" t="s">
        <v>20</v>
      </c>
      <c r="B308">
        <v>20</v>
      </c>
      <c r="C308" t="s">
        <v>95</v>
      </c>
      <c r="D308" t="s">
        <v>612</v>
      </c>
      <c r="E308">
        <v>3</v>
      </c>
      <c r="F308">
        <v>30</v>
      </c>
      <c r="G308">
        <v>30</v>
      </c>
      <c r="H308">
        <v>0</v>
      </c>
    </row>
    <row r="309" spans="1:8" x14ac:dyDescent="0.25">
      <c r="A309" t="s">
        <v>27</v>
      </c>
      <c r="B309">
        <v>20</v>
      </c>
      <c r="C309" t="s">
        <v>95</v>
      </c>
      <c r="D309" t="s">
        <v>588</v>
      </c>
      <c r="E309">
        <v>0</v>
      </c>
      <c r="F309">
        <v>0</v>
      </c>
      <c r="G309">
        <v>0</v>
      </c>
      <c r="H309">
        <v>0</v>
      </c>
    </row>
    <row r="310" spans="1:8" x14ac:dyDescent="0.25">
      <c r="A310" t="s">
        <v>27</v>
      </c>
      <c r="B310">
        <v>20</v>
      </c>
      <c r="C310" t="s">
        <v>95</v>
      </c>
      <c r="D310" t="s">
        <v>692</v>
      </c>
      <c r="E310">
        <v>0</v>
      </c>
      <c r="F310">
        <v>0</v>
      </c>
      <c r="G310">
        <v>0</v>
      </c>
      <c r="H310">
        <v>0</v>
      </c>
    </row>
    <row r="311" spans="1:8" x14ac:dyDescent="0.25">
      <c r="A311" t="s">
        <v>52</v>
      </c>
      <c r="B311">
        <v>20</v>
      </c>
      <c r="C311" t="s">
        <v>95</v>
      </c>
      <c r="D311" t="s">
        <v>588</v>
      </c>
      <c r="E311">
        <v>0</v>
      </c>
      <c r="F311">
        <v>0</v>
      </c>
      <c r="G311">
        <v>0</v>
      </c>
      <c r="H311">
        <v>0</v>
      </c>
    </row>
    <row r="312" spans="1:8" x14ac:dyDescent="0.25">
      <c r="A312" t="s">
        <v>52</v>
      </c>
      <c r="B312">
        <v>20</v>
      </c>
      <c r="C312" t="s">
        <v>95</v>
      </c>
      <c r="D312" t="s">
        <v>724</v>
      </c>
      <c r="E312">
        <v>0</v>
      </c>
      <c r="F312">
        <v>0</v>
      </c>
      <c r="G312">
        <v>0</v>
      </c>
      <c r="H312">
        <v>0</v>
      </c>
    </row>
    <row r="313" spans="1:8" x14ac:dyDescent="0.25">
      <c r="A313" t="s">
        <v>54</v>
      </c>
      <c r="B313">
        <v>20</v>
      </c>
      <c r="C313" t="s">
        <v>95</v>
      </c>
      <c r="D313" t="s">
        <v>669</v>
      </c>
      <c r="E313">
        <v>0</v>
      </c>
      <c r="F313">
        <v>0</v>
      </c>
      <c r="G313">
        <v>0</v>
      </c>
      <c r="H313">
        <v>0</v>
      </c>
    </row>
    <row r="314" spans="1:8" x14ac:dyDescent="0.25">
      <c r="A314" t="s">
        <v>54</v>
      </c>
      <c r="B314">
        <v>20</v>
      </c>
      <c r="C314" t="s">
        <v>95</v>
      </c>
      <c r="D314" t="s">
        <v>660</v>
      </c>
      <c r="E314">
        <v>0</v>
      </c>
      <c r="F314">
        <v>0</v>
      </c>
      <c r="G314">
        <v>0</v>
      </c>
      <c r="H314">
        <v>0</v>
      </c>
    </row>
    <row r="315" spans="1:8" x14ac:dyDescent="0.25">
      <c r="A315" t="s">
        <v>56</v>
      </c>
      <c r="B315">
        <v>20</v>
      </c>
      <c r="C315" t="s">
        <v>95</v>
      </c>
      <c r="D315" t="s">
        <v>606</v>
      </c>
      <c r="E315">
        <v>3</v>
      </c>
      <c r="F315">
        <v>21</v>
      </c>
      <c r="G315">
        <v>21</v>
      </c>
      <c r="H315">
        <v>0</v>
      </c>
    </row>
    <row r="316" spans="1:8" x14ac:dyDescent="0.25">
      <c r="A316" t="s">
        <v>58</v>
      </c>
      <c r="B316">
        <v>20</v>
      </c>
      <c r="C316" t="s">
        <v>95</v>
      </c>
      <c r="D316" t="s">
        <v>607</v>
      </c>
      <c r="E316">
        <v>3</v>
      </c>
      <c r="F316">
        <v>24</v>
      </c>
      <c r="G316">
        <v>24</v>
      </c>
      <c r="H316">
        <v>0</v>
      </c>
    </row>
    <row r="317" spans="1:8" x14ac:dyDescent="0.25">
      <c r="A317" t="s">
        <v>596</v>
      </c>
      <c r="B317">
        <v>20</v>
      </c>
      <c r="C317" t="s">
        <v>95</v>
      </c>
      <c r="D317" t="s">
        <v>609</v>
      </c>
      <c r="E317">
        <v>0</v>
      </c>
      <c r="F317">
        <v>0</v>
      </c>
      <c r="G317">
        <v>0</v>
      </c>
      <c r="H317">
        <v>0</v>
      </c>
    </row>
    <row r="318" spans="1:8" x14ac:dyDescent="0.25">
      <c r="A318" t="s">
        <v>596</v>
      </c>
      <c r="B318">
        <v>20</v>
      </c>
      <c r="C318" t="s">
        <v>95</v>
      </c>
      <c r="D318" t="s">
        <v>623</v>
      </c>
      <c r="E318">
        <v>0</v>
      </c>
      <c r="F318">
        <v>0</v>
      </c>
      <c r="G318">
        <v>0</v>
      </c>
      <c r="H318">
        <v>0</v>
      </c>
    </row>
    <row r="319" spans="1:8" x14ac:dyDescent="0.25">
      <c r="A319" t="s">
        <v>60</v>
      </c>
      <c r="B319">
        <v>20</v>
      </c>
      <c r="C319" t="s">
        <v>95</v>
      </c>
      <c r="D319" t="s">
        <v>669</v>
      </c>
      <c r="E319">
        <v>3</v>
      </c>
      <c r="F319">
        <v>21</v>
      </c>
      <c r="G319">
        <v>21</v>
      </c>
      <c r="H319">
        <v>0</v>
      </c>
    </row>
    <row r="320" spans="1:8" x14ac:dyDescent="0.25">
      <c r="A320" t="s">
        <v>61</v>
      </c>
      <c r="B320">
        <v>20</v>
      </c>
      <c r="C320" t="s">
        <v>95</v>
      </c>
      <c r="D320" t="s">
        <v>629</v>
      </c>
      <c r="E320">
        <v>0</v>
      </c>
      <c r="F320">
        <v>0</v>
      </c>
      <c r="G320">
        <v>0</v>
      </c>
      <c r="H320">
        <v>0</v>
      </c>
    </row>
    <row r="321" spans="1:8" x14ac:dyDescent="0.25">
      <c r="A321" t="s">
        <v>61</v>
      </c>
      <c r="B321">
        <v>20</v>
      </c>
      <c r="C321" t="s">
        <v>95</v>
      </c>
      <c r="D321" t="s">
        <v>656</v>
      </c>
      <c r="E321">
        <v>0</v>
      </c>
      <c r="F321">
        <v>0</v>
      </c>
      <c r="G321">
        <v>0</v>
      </c>
      <c r="H321">
        <v>0</v>
      </c>
    </row>
    <row r="322" spans="1:8" x14ac:dyDescent="0.25">
      <c r="A322" t="s">
        <v>62</v>
      </c>
      <c r="B322">
        <v>20</v>
      </c>
      <c r="C322" t="s">
        <v>95</v>
      </c>
      <c r="D322" t="s">
        <v>696</v>
      </c>
      <c r="E322">
        <v>0</v>
      </c>
      <c r="F322">
        <v>0</v>
      </c>
      <c r="G322">
        <v>0</v>
      </c>
      <c r="H322">
        <v>0</v>
      </c>
    </row>
    <row r="323" spans="1:8" x14ac:dyDescent="0.25">
      <c r="A323" t="s">
        <v>62</v>
      </c>
      <c r="B323">
        <v>20</v>
      </c>
      <c r="C323" t="s">
        <v>95</v>
      </c>
      <c r="D323" t="s">
        <v>725</v>
      </c>
      <c r="E323">
        <v>0</v>
      </c>
      <c r="F323">
        <v>0</v>
      </c>
      <c r="G323">
        <v>0</v>
      </c>
      <c r="H323">
        <v>0</v>
      </c>
    </row>
    <row r="324" spans="1:8" x14ac:dyDescent="0.25">
      <c r="A324" t="s">
        <v>63</v>
      </c>
      <c r="B324">
        <v>20</v>
      </c>
      <c r="C324" t="s">
        <v>95</v>
      </c>
      <c r="D324" t="s">
        <v>622</v>
      </c>
      <c r="E324">
        <v>3</v>
      </c>
      <c r="F324">
        <v>30</v>
      </c>
      <c r="G324">
        <v>30</v>
      </c>
      <c r="H324">
        <v>0</v>
      </c>
    </row>
    <row r="325" spans="1:8" x14ac:dyDescent="0.25">
      <c r="A325" t="s">
        <v>4</v>
      </c>
      <c r="B325">
        <v>20</v>
      </c>
      <c r="C325" t="s">
        <v>96</v>
      </c>
      <c r="D325" t="s">
        <v>636</v>
      </c>
      <c r="E325">
        <v>3</v>
      </c>
      <c r="F325">
        <v>21</v>
      </c>
      <c r="G325">
        <v>21</v>
      </c>
      <c r="H325">
        <v>0</v>
      </c>
    </row>
    <row r="326" spans="1:8" x14ac:dyDescent="0.25">
      <c r="A326" t="s">
        <v>20</v>
      </c>
      <c r="B326">
        <v>20</v>
      </c>
      <c r="C326" t="s">
        <v>96</v>
      </c>
      <c r="D326" t="s">
        <v>647</v>
      </c>
      <c r="E326">
        <v>3</v>
      </c>
      <c r="F326">
        <v>28</v>
      </c>
      <c r="G326">
        <v>28</v>
      </c>
      <c r="H326">
        <v>0</v>
      </c>
    </row>
    <row r="327" spans="1:8" x14ac:dyDescent="0.25">
      <c r="A327" t="s">
        <v>27</v>
      </c>
      <c r="B327">
        <v>20</v>
      </c>
      <c r="C327" t="s">
        <v>96</v>
      </c>
      <c r="D327" t="s">
        <v>617</v>
      </c>
      <c r="E327">
        <v>3</v>
      </c>
      <c r="F327">
        <v>28</v>
      </c>
      <c r="G327">
        <v>28</v>
      </c>
      <c r="H327">
        <v>0</v>
      </c>
    </row>
    <row r="328" spans="1:8" x14ac:dyDescent="0.25">
      <c r="A328" t="s">
        <v>52</v>
      </c>
      <c r="B328">
        <v>20</v>
      </c>
      <c r="C328" t="s">
        <v>96</v>
      </c>
      <c r="D328" t="s">
        <v>669</v>
      </c>
      <c r="E328">
        <v>3</v>
      </c>
      <c r="F328">
        <v>60</v>
      </c>
      <c r="G328">
        <v>60</v>
      </c>
      <c r="H328">
        <v>0</v>
      </c>
    </row>
    <row r="329" spans="1:8" x14ac:dyDescent="0.25">
      <c r="A329" t="s">
        <v>54</v>
      </c>
      <c r="B329">
        <v>20</v>
      </c>
      <c r="C329" t="s">
        <v>96</v>
      </c>
      <c r="D329" t="s">
        <v>605</v>
      </c>
      <c r="E329">
        <v>3</v>
      </c>
      <c r="F329">
        <v>22</v>
      </c>
      <c r="G329">
        <v>22</v>
      </c>
      <c r="H329">
        <v>0</v>
      </c>
    </row>
    <row r="330" spans="1:8" x14ac:dyDescent="0.25">
      <c r="A330" t="s">
        <v>56</v>
      </c>
      <c r="B330">
        <v>20</v>
      </c>
      <c r="C330" t="s">
        <v>96</v>
      </c>
      <c r="D330" t="s">
        <v>726</v>
      </c>
      <c r="E330">
        <v>3</v>
      </c>
      <c r="F330">
        <v>20</v>
      </c>
      <c r="G330">
        <v>20</v>
      </c>
      <c r="H330">
        <v>0</v>
      </c>
    </row>
    <row r="331" spans="1:8" x14ac:dyDescent="0.25">
      <c r="A331" t="s">
        <v>58</v>
      </c>
      <c r="B331">
        <v>20</v>
      </c>
      <c r="C331" t="s">
        <v>96</v>
      </c>
      <c r="D331" t="s">
        <v>657</v>
      </c>
      <c r="E331">
        <v>3</v>
      </c>
      <c r="F331">
        <v>24</v>
      </c>
      <c r="G331">
        <v>24</v>
      </c>
      <c r="H331">
        <v>0</v>
      </c>
    </row>
    <row r="332" spans="1:8" x14ac:dyDescent="0.25">
      <c r="A332" t="s">
        <v>596</v>
      </c>
      <c r="B332">
        <v>20</v>
      </c>
      <c r="C332" t="s">
        <v>96</v>
      </c>
      <c r="D332" t="s">
        <v>611</v>
      </c>
      <c r="E332">
        <v>0</v>
      </c>
      <c r="F332">
        <v>0</v>
      </c>
      <c r="G332">
        <v>0</v>
      </c>
      <c r="H332">
        <v>0</v>
      </c>
    </row>
    <row r="333" spans="1:8" x14ac:dyDescent="0.25">
      <c r="A333" t="s">
        <v>596</v>
      </c>
      <c r="B333">
        <v>20</v>
      </c>
      <c r="C333" t="s">
        <v>96</v>
      </c>
      <c r="D333" t="s">
        <v>645</v>
      </c>
      <c r="E333">
        <v>0</v>
      </c>
      <c r="F333">
        <v>0</v>
      </c>
      <c r="G333">
        <v>0</v>
      </c>
      <c r="H333">
        <v>0</v>
      </c>
    </row>
    <row r="334" spans="1:8" x14ac:dyDescent="0.25">
      <c r="A334" t="s">
        <v>60</v>
      </c>
      <c r="B334">
        <v>20</v>
      </c>
      <c r="C334" t="s">
        <v>96</v>
      </c>
      <c r="D334" t="s">
        <v>636</v>
      </c>
      <c r="E334">
        <v>3</v>
      </c>
      <c r="F334">
        <v>19</v>
      </c>
      <c r="G334">
        <v>19</v>
      </c>
      <c r="H334">
        <v>0</v>
      </c>
    </row>
    <row r="335" spans="1:8" x14ac:dyDescent="0.25">
      <c r="A335" t="s">
        <v>61</v>
      </c>
      <c r="B335">
        <v>20</v>
      </c>
      <c r="C335" t="s">
        <v>96</v>
      </c>
      <c r="D335" t="s">
        <v>615</v>
      </c>
      <c r="E335">
        <v>0</v>
      </c>
      <c r="F335">
        <v>14</v>
      </c>
      <c r="G335">
        <v>14</v>
      </c>
      <c r="H335">
        <v>0</v>
      </c>
    </row>
    <row r="336" spans="1:8" x14ac:dyDescent="0.25">
      <c r="A336" t="s">
        <v>62</v>
      </c>
      <c r="B336">
        <v>20</v>
      </c>
      <c r="C336" t="s">
        <v>96</v>
      </c>
      <c r="D336" t="s">
        <v>696</v>
      </c>
      <c r="E336">
        <v>3</v>
      </c>
      <c r="F336">
        <v>55</v>
      </c>
      <c r="G336">
        <v>55</v>
      </c>
      <c r="H336">
        <v>0</v>
      </c>
    </row>
    <row r="337" spans="1:8" x14ac:dyDescent="0.25">
      <c r="A337" t="s">
        <v>63</v>
      </c>
      <c r="B337">
        <v>20</v>
      </c>
      <c r="C337" t="s">
        <v>96</v>
      </c>
      <c r="D337" t="s">
        <v>609</v>
      </c>
      <c r="E337">
        <v>3</v>
      </c>
      <c r="F337">
        <v>30</v>
      </c>
      <c r="G337">
        <v>30</v>
      </c>
      <c r="H337">
        <v>0</v>
      </c>
    </row>
    <row r="338" spans="1:8" x14ac:dyDescent="0.25">
      <c r="A338" t="s">
        <v>66</v>
      </c>
      <c r="B338">
        <v>20</v>
      </c>
      <c r="C338" t="s">
        <v>96</v>
      </c>
      <c r="D338" t="s">
        <v>703</v>
      </c>
      <c r="E338">
        <v>3</v>
      </c>
      <c r="F338">
        <v>28</v>
      </c>
      <c r="G338">
        <v>28</v>
      </c>
      <c r="H338">
        <v>0</v>
      </c>
    </row>
    <row r="339" spans="1:8" x14ac:dyDescent="0.25">
      <c r="A339" t="s">
        <v>67</v>
      </c>
      <c r="B339">
        <v>20</v>
      </c>
      <c r="C339" t="s">
        <v>96</v>
      </c>
      <c r="D339" t="s">
        <v>638</v>
      </c>
      <c r="E339">
        <v>3</v>
      </c>
      <c r="F339">
        <v>17</v>
      </c>
      <c r="G339">
        <v>17</v>
      </c>
      <c r="H339">
        <v>0</v>
      </c>
    </row>
    <row r="340" spans="1:8" x14ac:dyDescent="0.25">
      <c r="A340" t="s">
        <v>4</v>
      </c>
      <c r="B340">
        <v>20</v>
      </c>
      <c r="C340" t="s">
        <v>97</v>
      </c>
      <c r="D340" t="s">
        <v>605</v>
      </c>
      <c r="E340">
        <v>3</v>
      </c>
      <c r="F340">
        <v>21</v>
      </c>
      <c r="G340">
        <v>21</v>
      </c>
      <c r="H340">
        <v>0</v>
      </c>
    </row>
    <row r="341" spans="1:8" x14ac:dyDescent="0.25">
      <c r="A341" t="s">
        <v>20</v>
      </c>
      <c r="B341">
        <v>20</v>
      </c>
      <c r="C341" t="s">
        <v>97</v>
      </c>
      <c r="D341" t="s">
        <v>606</v>
      </c>
      <c r="E341">
        <v>3</v>
      </c>
      <c r="F341">
        <v>30</v>
      </c>
      <c r="G341">
        <v>30</v>
      </c>
      <c r="H341">
        <v>0</v>
      </c>
    </row>
    <row r="342" spans="1:8" x14ac:dyDescent="0.25">
      <c r="A342" t="s">
        <v>27</v>
      </c>
      <c r="B342">
        <v>20</v>
      </c>
      <c r="C342" t="s">
        <v>97</v>
      </c>
      <c r="D342" t="s">
        <v>669</v>
      </c>
      <c r="E342">
        <v>3</v>
      </c>
      <c r="F342">
        <v>30</v>
      </c>
      <c r="G342">
        <v>30</v>
      </c>
      <c r="H342">
        <v>0</v>
      </c>
    </row>
    <row r="343" spans="1:8" x14ac:dyDescent="0.25">
      <c r="A343" t="s">
        <v>52</v>
      </c>
      <c r="B343">
        <v>20</v>
      </c>
      <c r="C343" t="s">
        <v>97</v>
      </c>
      <c r="D343" t="s">
        <v>722</v>
      </c>
      <c r="E343">
        <v>3</v>
      </c>
      <c r="F343">
        <v>57</v>
      </c>
      <c r="G343">
        <v>57</v>
      </c>
      <c r="H343">
        <v>0</v>
      </c>
    </row>
    <row r="344" spans="1:8" x14ac:dyDescent="0.25">
      <c r="A344" t="s">
        <v>54</v>
      </c>
      <c r="B344">
        <v>20</v>
      </c>
      <c r="C344" t="s">
        <v>97</v>
      </c>
      <c r="D344" t="s">
        <v>588</v>
      </c>
      <c r="E344">
        <v>3</v>
      </c>
      <c r="F344">
        <v>31</v>
      </c>
      <c r="G344">
        <v>31</v>
      </c>
      <c r="H344">
        <v>0</v>
      </c>
    </row>
    <row r="345" spans="1:8" x14ac:dyDescent="0.25">
      <c r="A345" t="s">
        <v>56</v>
      </c>
      <c r="B345">
        <v>20</v>
      </c>
      <c r="C345" t="s">
        <v>97</v>
      </c>
      <c r="D345" t="s">
        <v>676</v>
      </c>
      <c r="E345">
        <v>3</v>
      </c>
      <c r="F345">
        <v>21</v>
      </c>
      <c r="G345">
        <v>21</v>
      </c>
      <c r="H345">
        <v>0</v>
      </c>
    </row>
    <row r="346" spans="1:8" x14ac:dyDescent="0.25">
      <c r="A346" t="s">
        <v>58</v>
      </c>
      <c r="B346">
        <v>20</v>
      </c>
      <c r="C346" t="s">
        <v>97</v>
      </c>
      <c r="D346" t="s">
        <v>704</v>
      </c>
      <c r="E346">
        <v>2</v>
      </c>
      <c r="F346">
        <v>24</v>
      </c>
      <c r="G346">
        <v>24</v>
      </c>
      <c r="H346">
        <v>0</v>
      </c>
    </row>
    <row r="347" spans="1:8" x14ac:dyDescent="0.25">
      <c r="A347" t="s">
        <v>596</v>
      </c>
      <c r="B347">
        <v>20</v>
      </c>
      <c r="C347" t="s">
        <v>97</v>
      </c>
      <c r="D347" t="s">
        <v>650</v>
      </c>
      <c r="E347">
        <v>0</v>
      </c>
      <c r="F347">
        <v>0</v>
      </c>
      <c r="G347">
        <v>0</v>
      </c>
      <c r="H347">
        <v>0</v>
      </c>
    </row>
    <row r="348" spans="1:8" x14ac:dyDescent="0.25">
      <c r="A348" t="s">
        <v>596</v>
      </c>
      <c r="B348">
        <v>20</v>
      </c>
      <c r="C348" t="s">
        <v>97</v>
      </c>
      <c r="D348" t="s">
        <v>588</v>
      </c>
      <c r="E348">
        <v>0</v>
      </c>
      <c r="F348">
        <v>0</v>
      </c>
      <c r="G348">
        <v>0</v>
      </c>
      <c r="H348">
        <v>0</v>
      </c>
    </row>
    <row r="349" spans="1:8" x14ac:dyDescent="0.25">
      <c r="A349" t="s">
        <v>60</v>
      </c>
      <c r="B349">
        <v>20</v>
      </c>
      <c r="C349" t="s">
        <v>97</v>
      </c>
      <c r="D349" t="s">
        <v>610</v>
      </c>
      <c r="E349">
        <v>3</v>
      </c>
      <c r="F349">
        <v>20</v>
      </c>
      <c r="G349">
        <v>20</v>
      </c>
      <c r="H349">
        <v>0</v>
      </c>
    </row>
    <row r="350" spans="1:8" x14ac:dyDescent="0.25">
      <c r="A350" t="s">
        <v>61</v>
      </c>
      <c r="B350">
        <v>20</v>
      </c>
      <c r="C350" t="s">
        <v>97</v>
      </c>
      <c r="D350" t="s">
        <v>606</v>
      </c>
      <c r="E350">
        <v>0</v>
      </c>
      <c r="F350">
        <v>15</v>
      </c>
      <c r="G350">
        <v>15</v>
      </c>
      <c r="H350">
        <v>0</v>
      </c>
    </row>
    <row r="351" spans="1:8" x14ac:dyDescent="0.25">
      <c r="A351" t="s">
        <v>62</v>
      </c>
      <c r="B351">
        <v>20</v>
      </c>
      <c r="C351" t="s">
        <v>97</v>
      </c>
      <c r="D351" t="s">
        <v>640</v>
      </c>
      <c r="E351">
        <v>3</v>
      </c>
      <c r="F351">
        <v>58</v>
      </c>
      <c r="G351">
        <v>58</v>
      </c>
      <c r="H351">
        <v>0</v>
      </c>
    </row>
    <row r="352" spans="1:8" x14ac:dyDescent="0.25">
      <c r="A352" t="s">
        <v>63</v>
      </c>
      <c r="B352">
        <v>20</v>
      </c>
      <c r="C352" t="s">
        <v>97</v>
      </c>
      <c r="D352" t="s">
        <v>704</v>
      </c>
      <c r="E352">
        <v>3</v>
      </c>
      <c r="F352">
        <v>29</v>
      </c>
      <c r="G352">
        <v>29</v>
      </c>
      <c r="H352">
        <v>0</v>
      </c>
    </row>
    <row r="353" spans="1:8" x14ac:dyDescent="0.25">
      <c r="A353" t="s">
        <v>66</v>
      </c>
      <c r="B353">
        <v>20</v>
      </c>
      <c r="C353" t="s">
        <v>97</v>
      </c>
      <c r="D353" t="s">
        <v>669</v>
      </c>
      <c r="E353">
        <v>3</v>
      </c>
      <c r="F353">
        <v>29</v>
      </c>
      <c r="G353">
        <v>29</v>
      </c>
      <c r="H353">
        <v>0</v>
      </c>
    </row>
    <row r="354" spans="1:8" x14ac:dyDescent="0.25">
      <c r="A354" t="s">
        <v>67</v>
      </c>
      <c r="B354">
        <v>20</v>
      </c>
      <c r="C354" t="s">
        <v>97</v>
      </c>
      <c r="D354" t="s">
        <v>641</v>
      </c>
      <c r="E354">
        <v>3</v>
      </c>
      <c r="F354">
        <v>30</v>
      </c>
      <c r="G354">
        <v>30</v>
      </c>
      <c r="H354">
        <v>0</v>
      </c>
    </row>
    <row r="355" spans="1:8" x14ac:dyDescent="0.25">
      <c r="A355" t="s">
        <v>4</v>
      </c>
      <c r="B355">
        <v>20</v>
      </c>
      <c r="C355" t="s">
        <v>98</v>
      </c>
      <c r="D355" t="s">
        <v>595</v>
      </c>
      <c r="E355">
        <v>3</v>
      </c>
      <c r="F355">
        <v>21</v>
      </c>
      <c r="G355">
        <v>21</v>
      </c>
      <c r="H355">
        <v>0</v>
      </c>
    </row>
    <row r="356" spans="1:8" x14ac:dyDescent="0.25">
      <c r="A356" t="s">
        <v>20</v>
      </c>
      <c r="B356">
        <v>20</v>
      </c>
      <c r="C356" t="s">
        <v>98</v>
      </c>
      <c r="D356" t="s">
        <v>597</v>
      </c>
      <c r="E356">
        <v>3</v>
      </c>
      <c r="F356">
        <v>26</v>
      </c>
      <c r="G356">
        <v>26</v>
      </c>
      <c r="H356">
        <v>0</v>
      </c>
    </row>
    <row r="357" spans="1:8" x14ac:dyDescent="0.25">
      <c r="A357" t="s">
        <v>27</v>
      </c>
      <c r="B357">
        <v>20</v>
      </c>
      <c r="C357" t="s">
        <v>98</v>
      </c>
      <c r="D357" t="s">
        <v>669</v>
      </c>
      <c r="E357">
        <v>3</v>
      </c>
      <c r="F357">
        <v>30</v>
      </c>
      <c r="G357">
        <v>30</v>
      </c>
      <c r="H357">
        <v>0</v>
      </c>
    </row>
    <row r="358" spans="1:8" x14ac:dyDescent="0.25">
      <c r="A358" t="s">
        <v>52</v>
      </c>
      <c r="B358">
        <v>20</v>
      </c>
      <c r="C358" t="s">
        <v>98</v>
      </c>
      <c r="D358" t="s">
        <v>631</v>
      </c>
      <c r="E358">
        <v>3</v>
      </c>
      <c r="F358">
        <v>60</v>
      </c>
      <c r="G358">
        <v>60</v>
      </c>
      <c r="H358">
        <v>0</v>
      </c>
    </row>
    <row r="359" spans="1:8" x14ac:dyDescent="0.25">
      <c r="A359" t="s">
        <v>54</v>
      </c>
      <c r="B359">
        <v>20</v>
      </c>
      <c r="C359" t="s">
        <v>98</v>
      </c>
      <c r="D359" t="s">
        <v>696</v>
      </c>
      <c r="E359">
        <v>3</v>
      </c>
      <c r="F359">
        <v>32</v>
      </c>
      <c r="G359">
        <v>32</v>
      </c>
      <c r="H359">
        <v>0</v>
      </c>
    </row>
    <row r="360" spans="1:8" x14ac:dyDescent="0.25">
      <c r="A360" t="s">
        <v>56</v>
      </c>
      <c r="B360">
        <v>20</v>
      </c>
      <c r="C360" t="s">
        <v>98</v>
      </c>
      <c r="D360" t="s">
        <v>636</v>
      </c>
      <c r="E360">
        <v>3</v>
      </c>
      <c r="F360">
        <v>19</v>
      </c>
      <c r="G360">
        <v>19</v>
      </c>
      <c r="H360">
        <v>0</v>
      </c>
    </row>
    <row r="361" spans="1:8" x14ac:dyDescent="0.25">
      <c r="A361" t="s">
        <v>58</v>
      </c>
      <c r="B361">
        <v>20</v>
      </c>
      <c r="C361" t="s">
        <v>98</v>
      </c>
      <c r="D361" t="s">
        <v>721</v>
      </c>
      <c r="E361">
        <v>3</v>
      </c>
      <c r="F361">
        <v>24</v>
      </c>
      <c r="G361">
        <v>24</v>
      </c>
      <c r="H361">
        <v>0</v>
      </c>
    </row>
    <row r="362" spans="1:8" x14ac:dyDescent="0.25">
      <c r="A362" t="s">
        <v>596</v>
      </c>
      <c r="B362">
        <v>20</v>
      </c>
      <c r="C362" t="s">
        <v>98</v>
      </c>
      <c r="D362" t="s">
        <v>609</v>
      </c>
      <c r="E362">
        <v>0</v>
      </c>
      <c r="F362">
        <v>0</v>
      </c>
      <c r="G362">
        <v>0</v>
      </c>
      <c r="H362">
        <v>0</v>
      </c>
    </row>
    <row r="363" spans="1:8" x14ac:dyDescent="0.25">
      <c r="A363" t="s">
        <v>596</v>
      </c>
      <c r="B363">
        <v>20</v>
      </c>
      <c r="C363" t="s">
        <v>98</v>
      </c>
      <c r="D363" t="s">
        <v>647</v>
      </c>
      <c r="E363">
        <v>0</v>
      </c>
      <c r="F363">
        <v>0</v>
      </c>
      <c r="G363">
        <v>0</v>
      </c>
      <c r="H363">
        <v>0</v>
      </c>
    </row>
    <row r="364" spans="1:8" x14ac:dyDescent="0.25">
      <c r="A364" t="s">
        <v>60</v>
      </c>
      <c r="B364">
        <v>20</v>
      </c>
      <c r="C364" t="s">
        <v>98</v>
      </c>
      <c r="D364" t="s">
        <v>595</v>
      </c>
      <c r="E364">
        <v>3</v>
      </c>
      <c r="F364">
        <v>19</v>
      </c>
      <c r="G364">
        <v>19</v>
      </c>
      <c r="H364">
        <v>0</v>
      </c>
    </row>
    <row r="365" spans="1:8" x14ac:dyDescent="0.25">
      <c r="A365" t="s">
        <v>61</v>
      </c>
      <c r="B365">
        <v>20</v>
      </c>
      <c r="C365" t="s">
        <v>98</v>
      </c>
      <c r="D365" t="s">
        <v>615</v>
      </c>
      <c r="E365">
        <v>0</v>
      </c>
      <c r="F365">
        <v>15</v>
      </c>
      <c r="G365">
        <v>15</v>
      </c>
      <c r="H365">
        <v>0</v>
      </c>
    </row>
    <row r="366" spans="1:8" x14ac:dyDescent="0.25">
      <c r="A366" t="s">
        <v>62</v>
      </c>
      <c r="B366">
        <v>20</v>
      </c>
      <c r="C366" t="s">
        <v>98</v>
      </c>
      <c r="D366" t="s">
        <v>612</v>
      </c>
      <c r="E366">
        <v>3</v>
      </c>
      <c r="F366">
        <v>58</v>
      </c>
      <c r="G366">
        <v>58</v>
      </c>
      <c r="H366">
        <v>0</v>
      </c>
    </row>
    <row r="367" spans="1:8" x14ac:dyDescent="0.25">
      <c r="A367" t="s">
        <v>63</v>
      </c>
      <c r="B367">
        <v>20</v>
      </c>
      <c r="C367" t="s">
        <v>98</v>
      </c>
      <c r="D367" t="s">
        <v>676</v>
      </c>
      <c r="E367">
        <v>3</v>
      </c>
      <c r="F367">
        <v>30</v>
      </c>
      <c r="G367">
        <v>30</v>
      </c>
      <c r="H367">
        <v>0</v>
      </c>
    </row>
    <row r="368" spans="1:8" x14ac:dyDescent="0.25">
      <c r="A368" t="s">
        <v>66</v>
      </c>
      <c r="B368">
        <v>20</v>
      </c>
      <c r="C368" t="s">
        <v>98</v>
      </c>
      <c r="D368" t="s">
        <v>696</v>
      </c>
      <c r="E368">
        <v>3</v>
      </c>
      <c r="F368">
        <v>29</v>
      </c>
      <c r="G368">
        <v>29</v>
      </c>
      <c r="H368">
        <v>0</v>
      </c>
    </row>
    <row r="369" spans="1:8" x14ac:dyDescent="0.25">
      <c r="A369" t="s">
        <v>67</v>
      </c>
      <c r="B369">
        <v>20</v>
      </c>
      <c r="C369" t="s">
        <v>98</v>
      </c>
      <c r="D369" t="s">
        <v>671</v>
      </c>
      <c r="E369">
        <v>3</v>
      </c>
      <c r="F369">
        <v>30</v>
      </c>
      <c r="G369">
        <v>30</v>
      </c>
      <c r="H369">
        <v>0</v>
      </c>
    </row>
    <row r="370" spans="1:8" x14ac:dyDescent="0.25">
      <c r="A370" t="s">
        <v>4</v>
      </c>
      <c r="B370">
        <v>20</v>
      </c>
      <c r="C370" t="s">
        <v>99</v>
      </c>
      <c r="D370" t="s">
        <v>664</v>
      </c>
      <c r="E370">
        <v>3</v>
      </c>
      <c r="F370">
        <v>21</v>
      </c>
      <c r="G370">
        <v>21</v>
      </c>
      <c r="H370">
        <v>0</v>
      </c>
    </row>
    <row r="371" spans="1:8" x14ac:dyDescent="0.25">
      <c r="A371" t="s">
        <v>20</v>
      </c>
      <c r="B371">
        <v>20</v>
      </c>
      <c r="C371" t="s">
        <v>99</v>
      </c>
      <c r="D371" t="s">
        <v>660</v>
      </c>
      <c r="E371">
        <v>3</v>
      </c>
      <c r="F371">
        <v>30</v>
      </c>
      <c r="G371">
        <v>30</v>
      </c>
      <c r="H371">
        <v>0</v>
      </c>
    </row>
    <row r="372" spans="1:8" x14ac:dyDescent="0.25">
      <c r="A372" t="s">
        <v>27</v>
      </c>
      <c r="B372">
        <v>20</v>
      </c>
      <c r="C372" t="s">
        <v>99</v>
      </c>
      <c r="D372" t="s">
        <v>587</v>
      </c>
      <c r="E372">
        <v>0</v>
      </c>
      <c r="F372">
        <v>0</v>
      </c>
      <c r="G372">
        <v>0</v>
      </c>
      <c r="H372">
        <v>0</v>
      </c>
    </row>
    <row r="373" spans="1:8" x14ac:dyDescent="0.25">
      <c r="A373" t="s">
        <v>27</v>
      </c>
      <c r="B373">
        <v>20</v>
      </c>
      <c r="C373" t="s">
        <v>99</v>
      </c>
      <c r="D373" t="s">
        <v>675</v>
      </c>
      <c r="E373">
        <v>0</v>
      </c>
      <c r="F373">
        <v>0</v>
      </c>
      <c r="G373">
        <v>0</v>
      </c>
      <c r="H373">
        <v>0</v>
      </c>
    </row>
    <row r="374" spans="1:8" x14ac:dyDescent="0.25">
      <c r="A374" t="s">
        <v>52</v>
      </c>
      <c r="B374">
        <v>20</v>
      </c>
      <c r="C374" t="s">
        <v>99</v>
      </c>
      <c r="D374" t="s">
        <v>597</v>
      </c>
      <c r="E374">
        <v>0</v>
      </c>
      <c r="F374">
        <v>0</v>
      </c>
      <c r="G374">
        <v>0</v>
      </c>
      <c r="H374">
        <v>0</v>
      </c>
    </row>
    <row r="375" spans="1:8" x14ac:dyDescent="0.25">
      <c r="A375" t="s">
        <v>52</v>
      </c>
      <c r="B375">
        <v>20</v>
      </c>
      <c r="C375" t="s">
        <v>99</v>
      </c>
      <c r="D375" t="s">
        <v>727</v>
      </c>
      <c r="E375">
        <v>0</v>
      </c>
      <c r="F375">
        <v>0</v>
      </c>
      <c r="G375">
        <v>0</v>
      </c>
      <c r="H375">
        <v>0</v>
      </c>
    </row>
    <row r="376" spans="1:8" x14ac:dyDescent="0.25">
      <c r="A376" t="s">
        <v>54</v>
      </c>
      <c r="B376">
        <v>20</v>
      </c>
      <c r="C376" t="s">
        <v>99</v>
      </c>
      <c r="D376" t="s">
        <v>647</v>
      </c>
      <c r="E376">
        <v>0</v>
      </c>
      <c r="F376">
        <v>0</v>
      </c>
      <c r="G376">
        <v>0</v>
      </c>
      <c r="H376">
        <v>0</v>
      </c>
    </row>
    <row r="377" spans="1:8" x14ac:dyDescent="0.25">
      <c r="A377" t="s">
        <v>54</v>
      </c>
      <c r="B377">
        <v>20</v>
      </c>
      <c r="C377" t="s">
        <v>99</v>
      </c>
      <c r="D377" t="s">
        <v>728</v>
      </c>
      <c r="E377">
        <v>0</v>
      </c>
      <c r="F377">
        <v>0</v>
      </c>
      <c r="G377">
        <v>0</v>
      </c>
      <c r="H377">
        <v>0</v>
      </c>
    </row>
    <row r="378" spans="1:8" x14ac:dyDescent="0.25">
      <c r="A378" t="s">
        <v>56</v>
      </c>
      <c r="B378">
        <v>20</v>
      </c>
      <c r="C378" t="s">
        <v>99</v>
      </c>
      <c r="D378" t="s">
        <v>587</v>
      </c>
      <c r="E378">
        <v>3</v>
      </c>
      <c r="F378">
        <v>20</v>
      </c>
      <c r="G378">
        <v>20</v>
      </c>
      <c r="H378">
        <v>0</v>
      </c>
    </row>
    <row r="379" spans="1:8" x14ac:dyDescent="0.25">
      <c r="A379" t="s">
        <v>58</v>
      </c>
      <c r="B379">
        <v>20</v>
      </c>
      <c r="C379" t="s">
        <v>99</v>
      </c>
      <c r="D379" t="s">
        <v>604</v>
      </c>
      <c r="E379">
        <v>3</v>
      </c>
      <c r="F379">
        <v>24</v>
      </c>
      <c r="G379">
        <v>24</v>
      </c>
      <c r="H379">
        <v>0</v>
      </c>
    </row>
    <row r="380" spans="1:8" x14ac:dyDescent="0.25">
      <c r="A380" t="s">
        <v>596</v>
      </c>
      <c r="B380">
        <v>20</v>
      </c>
      <c r="C380" t="s">
        <v>99</v>
      </c>
      <c r="D380" t="s">
        <v>618</v>
      </c>
      <c r="E380">
        <v>0</v>
      </c>
      <c r="F380">
        <v>0</v>
      </c>
      <c r="G380">
        <v>0</v>
      </c>
      <c r="H380">
        <v>0</v>
      </c>
    </row>
    <row r="381" spans="1:8" x14ac:dyDescent="0.25">
      <c r="A381" t="s">
        <v>596</v>
      </c>
      <c r="B381">
        <v>20</v>
      </c>
      <c r="C381" t="s">
        <v>99</v>
      </c>
      <c r="D381" t="s">
        <v>628</v>
      </c>
      <c r="E381">
        <v>0</v>
      </c>
      <c r="F381">
        <v>0</v>
      </c>
      <c r="G381">
        <v>0</v>
      </c>
      <c r="H381">
        <v>0</v>
      </c>
    </row>
    <row r="382" spans="1:8" x14ac:dyDescent="0.25">
      <c r="A382" t="s">
        <v>61</v>
      </c>
      <c r="B382">
        <v>20</v>
      </c>
      <c r="C382" t="s">
        <v>99</v>
      </c>
      <c r="D382" t="s">
        <v>616</v>
      </c>
      <c r="E382">
        <v>0</v>
      </c>
      <c r="F382">
        <v>0</v>
      </c>
      <c r="G382">
        <v>0</v>
      </c>
      <c r="H382">
        <v>0</v>
      </c>
    </row>
    <row r="383" spans="1:8" x14ac:dyDescent="0.25">
      <c r="A383" t="s">
        <v>61</v>
      </c>
      <c r="B383">
        <v>20</v>
      </c>
      <c r="C383" t="s">
        <v>99</v>
      </c>
      <c r="D383" t="s">
        <v>699</v>
      </c>
      <c r="E383">
        <v>0</v>
      </c>
      <c r="F383">
        <v>0</v>
      </c>
      <c r="G383">
        <v>0</v>
      </c>
      <c r="H383">
        <v>0</v>
      </c>
    </row>
    <row r="384" spans="1:8" x14ac:dyDescent="0.25">
      <c r="A384" t="s">
        <v>62</v>
      </c>
      <c r="B384">
        <v>20</v>
      </c>
      <c r="C384" t="s">
        <v>99</v>
      </c>
      <c r="D384" t="s">
        <v>722</v>
      </c>
      <c r="E384">
        <v>0</v>
      </c>
      <c r="F384">
        <v>0</v>
      </c>
      <c r="G384">
        <v>0</v>
      </c>
      <c r="H384">
        <v>0</v>
      </c>
    </row>
    <row r="385" spans="1:8" x14ac:dyDescent="0.25">
      <c r="A385" t="s">
        <v>62</v>
      </c>
      <c r="B385">
        <v>20</v>
      </c>
      <c r="C385" t="s">
        <v>99</v>
      </c>
      <c r="D385" t="s">
        <v>729</v>
      </c>
      <c r="E385">
        <v>0</v>
      </c>
      <c r="F385">
        <v>0</v>
      </c>
      <c r="G385">
        <v>0</v>
      </c>
      <c r="H385">
        <v>0</v>
      </c>
    </row>
    <row r="386" spans="1:8" x14ac:dyDescent="0.25">
      <c r="A386" t="s">
        <v>63</v>
      </c>
      <c r="B386">
        <v>20</v>
      </c>
      <c r="C386" t="s">
        <v>99</v>
      </c>
      <c r="D386" t="s">
        <v>588</v>
      </c>
      <c r="E386">
        <v>3</v>
      </c>
      <c r="F386">
        <v>27</v>
      </c>
      <c r="G386">
        <v>27</v>
      </c>
      <c r="H386">
        <v>0</v>
      </c>
    </row>
    <row r="387" spans="1:8" x14ac:dyDescent="0.25">
      <c r="A387" t="s">
        <v>66</v>
      </c>
      <c r="B387">
        <v>20</v>
      </c>
      <c r="C387" t="s">
        <v>99</v>
      </c>
      <c r="D387" t="s">
        <v>599</v>
      </c>
      <c r="E387">
        <v>0</v>
      </c>
      <c r="F387">
        <v>0</v>
      </c>
      <c r="G387">
        <v>0</v>
      </c>
      <c r="H387">
        <v>0</v>
      </c>
    </row>
    <row r="388" spans="1:8" x14ac:dyDescent="0.25">
      <c r="A388" t="s">
        <v>66</v>
      </c>
      <c r="B388">
        <v>20</v>
      </c>
      <c r="C388" t="s">
        <v>99</v>
      </c>
      <c r="D388" t="s">
        <v>730</v>
      </c>
      <c r="E388">
        <v>0</v>
      </c>
      <c r="F388">
        <v>0</v>
      </c>
      <c r="G388">
        <v>0</v>
      </c>
      <c r="H388">
        <v>0</v>
      </c>
    </row>
    <row r="389" spans="1:8" x14ac:dyDescent="0.25">
      <c r="A389" t="s">
        <v>67</v>
      </c>
      <c r="B389">
        <v>20</v>
      </c>
      <c r="C389" t="s">
        <v>99</v>
      </c>
      <c r="D389" t="s">
        <v>731</v>
      </c>
      <c r="E389">
        <v>0</v>
      </c>
      <c r="F389">
        <v>0</v>
      </c>
      <c r="G389">
        <v>0</v>
      </c>
      <c r="H389">
        <v>0</v>
      </c>
    </row>
    <row r="390" spans="1:8" x14ac:dyDescent="0.25">
      <c r="A390" t="s">
        <v>67</v>
      </c>
      <c r="B390">
        <v>20</v>
      </c>
      <c r="C390" t="s">
        <v>99</v>
      </c>
      <c r="D390" t="s">
        <v>732</v>
      </c>
      <c r="E390">
        <v>0</v>
      </c>
      <c r="F390">
        <v>0</v>
      </c>
      <c r="G390">
        <v>0</v>
      </c>
      <c r="H390">
        <v>0</v>
      </c>
    </row>
    <row r="391" spans="1:8" x14ac:dyDescent="0.25">
      <c r="A391" t="s">
        <v>4</v>
      </c>
      <c r="B391">
        <v>20</v>
      </c>
      <c r="C391" t="s">
        <v>100</v>
      </c>
      <c r="D391" t="s">
        <v>636</v>
      </c>
      <c r="E391">
        <v>3</v>
      </c>
      <c r="F391">
        <v>21</v>
      </c>
      <c r="G391">
        <v>21</v>
      </c>
      <c r="H391">
        <v>0</v>
      </c>
    </row>
    <row r="392" spans="1:8" x14ac:dyDescent="0.25">
      <c r="A392" t="s">
        <v>20</v>
      </c>
      <c r="B392">
        <v>20</v>
      </c>
      <c r="C392" t="s">
        <v>100</v>
      </c>
      <c r="D392" t="s">
        <v>587</v>
      </c>
      <c r="E392">
        <v>3</v>
      </c>
      <c r="F392">
        <v>30</v>
      </c>
      <c r="G392">
        <v>30</v>
      </c>
      <c r="H392">
        <v>0</v>
      </c>
    </row>
    <row r="393" spans="1:8" x14ac:dyDescent="0.25">
      <c r="A393" t="s">
        <v>27</v>
      </c>
      <c r="B393">
        <v>20</v>
      </c>
      <c r="C393" t="s">
        <v>100</v>
      </c>
      <c r="D393" t="s">
        <v>621</v>
      </c>
      <c r="E393">
        <v>0</v>
      </c>
      <c r="F393">
        <v>0</v>
      </c>
      <c r="G393">
        <v>0</v>
      </c>
      <c r="H393">
        <v>0</v>
      </c>
    </row>
    <row r="394" spans="1:8" x14ac:dyDescent="0.25">
      <c r="A394" t="s">
        <v>27</v>
      </c>
      <c r="B394">
        <v>20</v>
      </c>
      <c r="C394" t="s">
        <v>100</v>
      </c>
      <c r="D394" t="s">
        <v>713</v>
      </c>
      <c r="E394">
        <v>0</v>
      </c>
      <c r="F394">
        <v>0</v>
      </c>
      <c r="G394">
        <v>0</v>
      </c>
      <c r="H394">
        <v>0</v>
      </c>
    </row>
    <row r="395" spans="1:8" x14ac:dyDescent="0.25">
      <c r="A395" t="s">
        <v>52</v>
      </c>
      <c r="B395">
        <v>20</v>
      </c>
      <c r="C395" t="s">
        <v>100</v>
      </c>
      <c r="D395" t="s">
        <v>587</v>
      </c>
      <c r="E395">
        <v>0</v>
      </c>
      <c r="F395">
        <v>0</v>
      </c>
      <c r="G395">
        <v>0</v>
      </c>
      <c r="H395">
        <v>0</v>
      </c>
    </row>
    <row r="396" spans="1:8" x14ac:dyDescent="0.25">
      <c r="A396" t="s">
        <v>52</v>
      </c>
      <c r="B396">
        <v>20</v>
      </c>
      <c r="C396" t="s">
        <v>100</v>
      </c>
      <c r="D396" t="s">
        <v>678</v>
      </c>
      <c r="E396">
        <v>0</v>
      </c>
      <c r="F396">
        <v>0</v>
      </c>
      <c r="G396">
        <v>0</v>
      </c>
      <c r="H396">
        <v>0</v>
      </c>
    </row>
    <row r="397" spans="1:8" x14ac:dyDescent="0.25">
      <c r="A397" t="s">
        <v>54</v>
      </c>
      <c r="B397">
        <v>20</v>
      </c>
      <c r="C397" t="s">
        <v>100</v>
      </c>
      <c r="D397" t="s">
        <v>588</v>
      </c>
      <c r="E397">
        <v>0</v>
      </c>
      <c r="F397">
        <v>0</v>
      </c>
      <c r="G397">
        <v>0</v>
      </c>
      <c r="H397">
        <v>0</v>
      </c>
    </row>
    <row r="398" spans="1:8" x14ac:dyDescent="0.25">
      <c r="A398" t="s">
        <v>54</v>
      </c>
      <c r="B398">
        <v>20</v>
      </c>
      <c r="C398" t="s">
        <v>100</v>
      </c>
      <c r="D398" t="s">
        <v>663</v>
      </c>
      <c r="E398">
        <v>0</v>
      </c>
      <c r="F398">
        <v>0</v>
      </c>
      <c r="G398">
        <v>0</v>
      </c>
      <c r="H398">
        <v>0</v>
      </c>
    </row>
    <row r="399" spans="1:8" x14ac:dyDescent="0.25">
      <c r="A399" t="s">
        <v>56</v>
      </c>
      <c r="B399">
        <v>20</v>
      </c>
      <c r="C399" t="s">
        <v>100</v>
      </c>
      <c r="D399" t="s">
        <v>605</v>
      </c>
      <c r="E399">
        <v>3</v>
      </c>
      <c r="F399">
        <v>18</v>
      </c>
      <c r="G399">
        <v>18</v>
      </c>
      <c r="H399">
        <v>0</v>
      </c>
    </row>
    <row r="400" spans="1:8" x14ac:dyDescent="0.25">
      <c r="A400" t="s">
        <v>58</v>
      </c>
      <c r="B400">
        <v>20</v>
      </c>
      <c r="C400" t="s">
        <v>100</v>
      </c>
      <c r="D400" t="s">
        <v>607</v>
      </c>
      <c r="E400">
        <v>3</v>
      </c>
      <c r="F400">
        <v>24</v>
      </c>
      <c r="G400">
        <v>24</v>
      </c>
      <c r="H400">
        <v>0</v>
      </c>
    </row>
    <row r="401" spans="1:8" x14ac:dyDescent="0.25">
      <c r="A401" t="s">
        <v>596</v>
      </c>
      <c r="B401">
        <v>20</v>
      </c>
      <c r="C401" t="s">
        <v>100</v>
      </c>
      <c r="D401" t="s">
        <v>721</v>
      </c>
      <c r="E401">
        <v>0</v>
      </c>
      <c r="F401">
        <v>0</v>
      </c>
      <c r="G401">
        <v>0</v>
      </c>
      <c r="H401">
        <v>0</v>
      </c>
    </row>
    <row r="402" spans="1:8" x14ac:dyDescent="0.25">
      <c r="A402" t="s">
        <v>596</v>
      </c>
      <c r="B402">
        <v>20</v>
      </c>
      <c r="C402" t="s">
        <v>100</v>
      </c>
      <c r="D402" t="s">
        <v>631</v>
      </c>
      <c r="E402">
        <v>0</v>
      </c>
      <c r="F402">
        <v>0</v>
      </c>
      <c r="G402">
        <v>0</v>
      </c>
      <c r="H402">
        <v>0</v>
      </c>
    </row>
    <row r="403" spans="1:8" x14ac:dyDescent="0.25">
      <c r="A403" t="s">
        <v>60</v>
      </c>
      <c r="B403">
        <v>20</v>
      </c>
      <c r="C403" t="s">
        <v>100</v>
      </c>
      <c r="D403" t="s">
        <v>609</v>
      </c>
      <c r="E403">
        <v>3</v>
      </c>
      <c r="F403">
        <v>16</v>
      </c>
      <c r="G403">
        <v>16</v>
      </c>
      <c r="H403">
        <v>0</v>
      </c>
    </row>
    <row r="404" spans="1:8" x14ac:dyDescent="0.25">
      <c r="A404" t="s">
        <v>61</v>
      </c>
      <c r="B404">
        <v>20</v>
      </c>
      <c r="C404" t="s">
        <v>100</v>
      </c>
      <c r="D404" t="s">
        <v>667</v>
      </c>
      <c r="E404">
        <v>0</v>
      </c>
      <c r="F404">
        <v>0</v>
      </c>
      <c r="G404">
        <v>0</v>
      </c>
      <c r="H404">
        <v>0</v>
      </c>
    </row>
    <row r="405" spans="1:8" x14ac:dyDescent="0.25">
      <c r="A405" t="s">
        <v>61</v>
      </c>
      <c r="B405">
        <v>20</v>
      </c>
      <c r="C405" t="s">
        <v>100</v>
      </c>
      <c r="D405" t="s">
        <v>664</v>
      </c>
      <c r="E405">
        <v>0</v>
      </c>
      <c r="F405">
        <v>0</v>
      </c>
      <c r="G405">
        <v>0</v>
      </c>
      <c r="H405">
        <v>0</v>
      </c>
    </row>
    <row r="406" spans="1:8" x14ac:dyDescent="0.25">
      <c r="A406" t="s">
        <v>62</v>
      </c>
      <c r="B406">
        <v>20</v>
      </c>
      <c r="C406" t="s">
        <v>100</v>
      </c>
      <c r="D406" t="s">
        <v>615</v>
      </c>
      <c r="E406">
        <v>0</v>
      </c>
      <c r="F406">
        <v>0</v>
      </c>
      <c r="G406">
        <v>0</v>
      </c>
      <c r="H406">
        <v>0</v>
      </c>
    </row>
    <row r="407" spans="1:8" x14ac:dyDescent="0.25">
      <c r="A407" t="s">
        <v>62</v>
      </c>
      <c r="B407">
        <v>20</v>
      </c>
      <c r="C407" t="s">
        <v>100</v>
      </c>
      <c r="D407" t="s">
        <v>663</v>
      </c>
      <c r="E407">
        <v>0</v>
      </c>
      <c r="F407">
        <v>0</v>
      </c>
      <c r="G407">
        <v>0</v>
      </c>
      <c r="H407">
        <v>0</v>
      </c>
    </row>
    <row r="408" spans="1:8" x14ac:dyDescent="0.25">
      <c r="A408" t="s">
        <v>63</v>
      </c>
      <c r="B408">
        <v>20</v>
      </c>
      <c r="C408" t="s">
        <v>100</v>
      </c>
      <c r="D408" t="s">
        <v>704</v>
      </c>
      <c r="E408">
        <v>3</v>
      </c>
      <c r="F408">
        <v>30</v>
      </c>
      <c r="G408">
        <v>30</v>
      </c>
      <c r="H408">
        <v>0</v>
      </c>
    </row>
    <row r="409" spans="1:8" x14ac:dyDescent="0.25">
      <c r="A409" t="s">
        <v>66</v>
      </c>
      <c r="B409">
        <v>20</v>
      </c>
      <c r="C409" t="s">
        <v>100</v>
      </c>
      <c r="D409" t="s">
        <v>696</v>
      </c>
      <c r="E409">
        <v>0</v>
      </c>
      <c r="F409">
        <v>0</v>
      </c>
      <c r="G409">
        <v>0</v>
      </c>
      <c r="H409">
        <v>0</v>
      </c>
    </row>
    <row r="410" spans="1:8" x14ac:dyDescent="0.25">
      <c r="A410" t="s">
        <v>66</v>
      </c>
      <c r="B410">
        <v>20</v>
      </c>
      <c r="C410" t="s">
        <v>100</v>
      </c>
      <c r="D410" t="s">
        <v>675</v>
      </c>
      <c r="E410">
        <v>0</v>
      </c>
      <c r="F410">
        <v>0</v>
      </c>
      <c r="G410">
        <v>0</v>
      </c>
      <c r="H410">
        <v>0</v>
      </c>
    </row>
    <row r="411" spans="1:8" x14ac:dyDescent="0.25">
      <c r="A411" t="s">
        <v>67</v>
      </c>
      <c r="B411">
        <v>20</v>
      </c>
      <c r="C411" t="s">
        <v>100</v>
      </c>
      <c r="D411" t="s">
        <v>733</v>
      </c>
      <c r="E411">
        <v>0</v>
      </c>
      <c r="F411">
        <v>0</v>
      </c>
      <c r="G411">
        <v>0</v>
      </c>
      <c r="H411">
        <v>0</v>
      </c>
    </row>
    <row r="412" spans="1:8" x14ac:dyDescent="0.25">
      <c r="A412" t="s">
        <v>67</v>
      </c>
      <c r="B412">
        <v>20</v>
      </c>
      <c r="C412" t="s">
        <v>100</v>
      </c>
      <c r="D412" t="s">
        <v>734</v>
      </c>
      <c r="E412">
        <v>0</v>
      </c>
      <c r="F412">
        <v>0</v>
      </c>
      <c r="G412">
        <v>0</v>
      </c>
      <c r="H412">
        <v>0</v>
      </c>
    </row>
    <row r="413" spans="1:8" x14ac:dyDescent="0.25">
      <c r="A413" t="s">
        <v>4</v>
      </c>
      <c r="B413">
        <v>20</v>
      </c>
      <c r="C413" t="s">
        <v>101</v>
      </c>
      <c r="D413" t="s">
        <v>735</v>
      </c>
      <c r="E413">
        <v>3</v>
      </c>
      <c r="F413">
        <v>21</v>
      </c>
      <c r="G413">
        <v>21</v>
      </c>
      <c r="H413">
        <v>0</v>
      </c>
    </row>
    <row r="414" spans="1:8" x14ac:dyDescent="0.25">
      <c r="A414" t="s">
        <v>20</v>
      </c>
      <c r="B414">
        <v>20</v>
      </c>
      <c r="C414" t="s">
        <v>101</v>
      </c>
      <c r="D414" t="s">
        <v>686</v>
      </c>
      <c r="E414">
        <v>3</v>
      </c>
      <c r="F414">
        <v>30</v>
      </c>
      <c r="G414">
        <v>30</v>
      </c>
      <c r="H414">
        <v>0</v>
      </c>
    </row>
    <row r="415" spans="1:8" x14ac:dyDescent="0.25">
      <c r="A415" t="s">
        <v>27</v>
      </c>
      <c r="B415">
        <v>20</v>
      </c>
      <c r="C415" t="s">
        <v>101</v>
      </c>
      <c r="D415" t="s">
        <v>669</v>
      </c>
      <c r="E415">
        <v>0</v>
      </c>
      <c r="F415">
        <v>0</v>
      </c>
      <c r="G415">
        <v>0</v>
      </c>
      <c r="H415">
        <v>0</v>
      </c>
    </row>
    <row r="416" spans="1:8" x14ac:dyDescent="0.25">
      <c r="A416" t="s">
        <v>27</v>
      </c>
      <c r="B416">
        <v>20</v>
      </c>
      <c r="C416" t="s">
        <v>101</v>
      </c>
      <c r="D416" t="s">
        <v>695</v>
      </c>
      <c r="E416">
        <v>0</v>
      </c>
      <c r="F416">
        <v>0</v>
      </c>
      <c r="G416">
        <v>0</v>
      </c>
      <c r="H416">
        <v>0</v>
      </c>
    </row>
    <row r="417" spans="1:8" x14ac:dyDescent="0.25">
      <c r="A417" t="s">
        <v>52</v>
      </c>
      <c r="B417">
        <v>20</v>
      </c>
      <c r="C417" t="s">
        <v>101</v>
      </c>
      <c r="D417" t="s">
        <v>640</v>
      </c>
      <c r="E417">
        <v>0</v>
      </c>
      <c r="F417">
        <v>0</v>
      </c>
      <c r="G417">
        <v>0</v>
      </c>
      <c r="H417">
        <v>0</v>
      </c>
    </row>
    <row r="418" spans="1:8" x14ac:dyDescent="0.25">
      <c r="A418" t="s">
        <v>52</v>
      </c>
      <c r="B418">
        <v>20</v>
      </c>
      <c r="C418" t="s">
        <v>101</v>
      </c>
      <c r="D418" t="s">
        <v>710</v>
      </c>
      <c r="E418">
        <v>0</v>
      </c>
      <c r="F418">
        <v>0</v>
      </c>
      <c r="G418">
        <v>0</v>
      </c>
      <c r="H418">
        <v>0</v>
      </c>
    </row>
    <row r="419" spans="1:8" x14ac:dyDescent="0.25">
      <c r="A419" t="s">
        <v>54</v>
      </c>
      <c r="B419">
        <v>20</v>
      </c>
      <c r="C419" t="s">
        <v>101</v>
      </c>
      <c r="D419" t="s">
        <v>618</v>
      </c>
      <c r="E419">
        <v>0</v>
      </c>
      <c r="F419">
        <v>0</v>
      </c>
      <c r="G419">
        <v>0</v>
      </c>
      <c r="H419">
        <v>0</v>
      </c>
    </row>
    <row r="420" spans="1:8" x14ac:dyDescent="0.25">
      <c r="A420" t="s">
        <v>54</v>
      </c>
      <c r="B420">
        <v>20</v>
      </c>
      <c r="C420" t="s">
        <v>101</v>
      </c>
      <c r="D420" t="s">
        <v>679</v>
      </c>
      <c r="E420">
        <v>0</v>
      </c>
      <c r="F420">
        <v>0</v>
      </c>
      <c r="G420">
        <v>0</v>
      </c>
      <c r="H420">
        <v>0</v>
      </c>
    </row>
    <row r="421" spans="1:8" x14ac:dyDescent="0.25">
      <c r="A421" t="s">
        <v>56</v>
      </c>
      <c r="B421">
        <v>20</v>
      </c>
      <c r="C421" t="s">
        <v>101</v>
      </c>
      <c r="D421" t="s">
        <v>614</v>
      </c>
      <c r="E421">
        <v>3</v>
      </c>
      <c r="F421">
        <v>21</v>
      </c>
      <c r="G421">
        <v>21</v>
      </c>
      <c r="H421">
        <v>0</v>
      </c>
    </row>
    <row r="422" spans="1:8" x14ac:dyDescent="0.25">
      <c r="A422" t="s">
        <v>58</v>
      </c>
      <c r="B422">
        <v>20</v>
      </c>
      <c r="C422" t="s">
        <v>101</v>
      </c>
      <c r="D422" t="s">
        <v>657</v>
      </c>
      <c r="E422">
        <v>3</v>
      </c>
      <c r="F422">
        <v>24</v>
      </c>
      <c r="G422">
        <v>24</v>
      </c>
      <c r="H422">
        <v>0</v>
      </c>
    </row>
    <row r="423" spans="1:8" x14ac:dyDescent="0.25">
      <c r="A423" t="s">
        <v>596</v>
      </c>
      <c r="B423">
        <v>20</v>
      </c>
      <c r="C423" t="s">
        <v>101</v>
      </c>
      <c r="D423" t="s">
        <v>721</v>
      </c>
      <c r="E423">
        <v>0</v>
      </c>
      <c r="F423">
        <v>0</v>
      </c>
      <c r="G423">
        <v>0</v>
      </c>
      <c r="H423">
        <v>0</v>
      </c>
    </row>
    <row r="424" spans="1:8" x14ac:dyDescent="0.25">
      <c r="A424" t="s">
        <v>596</v>
      </c>
      <c r="B424">
        <v>20</v>
      </c>
      <c r="C424" t="s">
        <v>101</v>
      </c>
      <c r="D424" t="s">
        <v>669</v>
      </c>
      <c r="E424">
        <v>0</v>
      </c>
      <c r="F424">
        <v>0</v>
      </c>
      <c r="G424">
        <v>0</v>
      </c>
      <c r="H424">
        <v>0</v>
      </c>
    </row>
    <row r="425" spans="1:8" x14ac:dyDescent="0.25">
      <c r="A425" t="s">
        <v>60</v>
      </c>
      <c r="B425">
        <v>20</v>
      </c>
      <c r="C425" t="s">
        <v>101</v>
      </c>
      <c r="D425" t="s">
        <v>586</v>
      </c>
      <c r="E425">
        <v>3</v>
      </c>
      <c r="F425">
        <v>19</v>
      </c>
      <c r="G425">
        <v>19</v>
      </c>
      <c r="H425">
        <v>0</v>
      </c>
    </row>
    <row r="426" spans="1:8" x14ac:dyDescent="0.25">
      <c r="A426" t="s">
        <v>61</v>
      </c>
      <c r="B426">
        <v>20</v>
      </c>
      <c r="C426" t="s">
        <v>101</v>
      </c>
      <c r="D426" t="s">
        <v>643</v>
      </c>
      <c r="E426">
        <v>0</v>
      </c>
      <c r="F426">
        <v>0</v>
      </c>
      <c r="G426">
        <v>0</v>
      </c>
      <c r="H426">
        <v>0</v>
      </c>
    </row>
    <row r="427" spans="1:8" x14ac:dyDescent="0.25">
      <c r="A427" t="s">
        <v>61</v>
      </c>
      <c r="B427">
        <v>20</v>
      </c>
      <c r="C427" t="s">
        <v>101</v>
      </c>
      <c r="D427" t="s">
        <v>688</v>
      </c>
      <c r="E427">
        <v>0</v>
      </c>
      <c r="F427">
        <v>0</v>
      </c>
      <c r="G427">
        <v>0</v>
      </c>
      <c r="H427">
        <v>0</v>
      </c>
    </row>
    <row r="428" spans="1:8" x14ac:dyDescent="0.25">
      <c r="A428" t="s">
        <v>62</v>
      </c>
      <c r="B428">
        <v>20</v>
      </c>
      <c r="C428" t="s">
        <v>101</v>
      </c>
      <c r="D428" t="s">
        <v>640</v>
      </c>
      <c r="E428">
        <v>0</v>
      </c>
      <c r="F428">
        <v>0</v>
      </c>
      <c r="G428">
        <v>0</v>
      </c>
      <c r="H428">
        <v>0</v>
      </c>
    </row>
    <row r="429" spans="1:8" x14ac:dyDescent="0.25">
      <c r="A429" t="s">
        <v>62</v>
      </c>
      <c r="B429">
        <v>20</v>
      </c>
      <c r="C429" t="s">
        <v>101</v>
      </c>
      <c r="D429" t="s">
        <v>736</v>
      </c>
      <c r="E429">
        <v>0</v>
      </c>
      <c r="F429">
        <v>0</v>
      </c>
      <c r="G429">
        <v>0</v>
      </c>
      <c r="H429">
        <v>0</v>
      </c>
    </row>
    <row r="430" spans="1:8" x14ac:dyDescent="0.25">
      <c r="A430" t="s">
        <v>63</v>
      </c>
      <c r="B430">
        <v>20</v>
      </c>
      <c r="C430" t="s">
        <v>101</v>
      </c>
      <c r="D430" t="s">
        <v>639</v>
      </c>
      <c r="E430">
        <v>3</v>
      </c>
      <c r="F430">
        <v>29</v>
      </c>
      <c r="G430">
        <v>29</v>
      </c>
      <c r="H430">
        <v>0</v>
      </c>
    </row>
    <row r="431" spans="1:8" x14ac:dyDescent="0.25">
      <c r="A431" t="s">
        <v>66</v>
      </c>
      <c r="B431">
        <v>20</v>
      </c>
      <c r="C431" t="s">
        <v>101</v>
      </c>
      <c r="D431" t="s">
        <v>601</v>
      </c>
      <c r="E431">
        <v>0</v>
      </c>
      <c r="F431">
        <v>0</v>
      </c>
      <c r="G431">
        <v>0</v>
      </c>
      <c r="H431">
        <v>0</v>
      </c>
    </row>
    <row r="432" spans="1:8" x14ac:dyDescent="0.25">
      <c r="A432" t="s">
        <v>66</v>
      </c>
      <c r="B432">
        <v>20</v>
      </c>
      <c r="C432" t="s">
        <v>101</v>
      </c>
      <c r="D432" t="s">
        <v>713</v>
      </c>
      <c r="E432">
        <v>0</v>
      </c>
      <c r="F432">
        <v>0</v>
      </c>
      <c r="G432">
        <v>0</v>
      </c>
      <c r="H432">
        <v>0</v>
      </c>
    </row>
    <row r="433" spans="1:8" x14ac:dyDescent="0.25">
      <c r="A433" t="s">
        <v>67</v>
      </c>
      <c r="B433">
        <v>20</v>
      </c>
      <c r="C433" t="s">
        <v>101</v>
      </c>
      <c r="D433" t="s">
        <v>632</v>
      </c>
      <c r="E433">
        <v>0</v>
      </c>
      <c r="F433">
        <v>0</v>
      </c>
      <c r="G433">
        <v>0</v>
      </c>
      <c r="H433">
        <v>0</v>
      </c>
    </row>
    <row r="434" spans="1:8" x14ac:dyDescent="0.25">
      <c r="A434" t="s">
        <v>67</v>
      </c>
      <c r="B434">
        <v>20</v>
      </c>
      <c r="C434" t="s">
        <v>101</v>
      </c>
      <c r="D434" t="s">
        <v>737</v>
      </c>
      <c r="E434">
        <v>0</v>
      </c>
      <c r="F434">
        <v>0</v>
      </c>
      <c r="G434">
        <v>0</v>
      </c>
      <c r="H434">
        <v>0</v>
      </c>
    </row>
    <row r="435" spans="1:8" x14ac:dyDescent="0.25">
      <c r="A435" t="s">
        <v>4</v>
      </c>
      <c r="B435">
        <v>20</v>
      </c>
      <c r="C435" t="s">
        <v>102</v>
      </c>
      <c r="D435" t="s">
        <v>614</v>
      </c>
      <c r="E435">
        <v>3</v>
      </c>
      <c r="F435">
        <v>21</v>
      </c>
      <c r="G435">
        <v>21</v>
      </c>
      <c r="H435">
        <v>0</v>
      </c>
    </row>
    <row r="436" spans="1:8" x14ac:dyDescent="0.25">
      <c r="A436" t="s">
        <v>20</v>
      </c>
      <c r="B436">
        <v>20</v>
      </c>
      <c r="C436" t="s">
        <v>102</v>
      </c>
      <c r="D436" t="s">
        <v>696</v>
      </c>
      <c r="E436">
        <v>3</v>
      </c>
      <c r="F436">
        <v>26</v>
      </c>
      <c r="G436">
        <v>26</v>
      </c>
      <c r="H436">
        <v>0</v>
      </c>
    </row>
    <row r="437" spans="1:8" x14ac:dyDescent="0.25">
      <c r="A437" t="s">
        <v>27</v>
      </c>
      <c r="B437">
        <v>20</v>
      </c>
      <c r="C437" t="s">
        <v>102</v>
      </c>
      <c r="D437" t="s">
        <v>606</v>
      </c>
      <c r="E437">
        <v>0</v>
      </c>
      <c r="F437">
        <v>0</v>
      </c>
      <c r="G437">
        <v>0</v>
      </c>
      <c r="H437">
        <v>0</v>
      </c>
    </row>
    <row r="438" spans="1:8" x14ac:dyDescent="0.25">
      <c r="A438" t="s">
        <v>27</v>
      </c>
      <c r="B438">
        <v>20</v>
      </c>
      <c r="C438" t="s">
        <v>102</v>
      </c>
      <c r="D438" t="s">
        <v>692</v>
      </c>
      <c r="E438">
        <v>0</v>
      </c>
      <c r="F438">
        <v>0</v>
      </c>
      <c r="G438">
        <v>0</v>
      </c>
      <c r="H438">
        <v>0</v>
      </c>
    </row>
    <row r="439" spans="1:8" x14ac:dyDescent="0.25">
      <c r="A439" t="s">
        <v>52</v>
      </c>
      <c r="B439">
        <v>20</v>
      </c>
      <c r="C439" t="s">
        <v>102</v>
      </c>
      <c r="D439" t="s">
        <v>601</v>
      </c>
      <c r="E439">
        <v>0</v>
      </c>
      <c r="F439">
        <v>0</v>
      </c>
      <c r="G439">
        <v>0</v>
      </c>
      <c r="H439">
        <v>0</v>
      </c>
    </row>
    <row r="440" spans="1:8" x14ac:dyDescent="0.25">
      <c r="A440" t="s">
        <v>52</v>
      </c>
      <c r="B440">
        <v>20</v>
      </c>
      <c r="C440" t="s">
        <v>102</v>
      </c>
      <c r="D440" t="s">
        <v>707</v>
      </c>
      <c r="E440">
        <v>0</v>
      </c>
      <c r="F440">
        <v>0</v>
      </c>
      <c r="G440">
        <v>0</v>
      </c>
      <c r="H440">
        <v>0</v>
      </c>
    </row>
    <row r="441" spans="1:8" x14ac:dyDescent="0.25">
      <c r="A441" t="s">
        <v>54</v>
      </c>
      <c r="B441">
        <v>20</v>
      </c>
      <c r="C441" t="s">
        <v>102</v>
      </c>
      <c r="D441" t="s">
        <v>618</v>
      </c>
      <c r="E441">
        <v>0</v>
      </c>
      <c r="F441">
        <v>0</v>
      </c>
      <c r="G441">
        <v>0</v>
      </c>
      <c r="H441">
        <v>0</v>
      </c>
    </row>
    <row r="442" spans="1:8" x14ac:dyDescent="0.25">
      <c r="A442" t="s">
        <v>54</v>
      </c>
      <c r="B442">
        <v>20</v>
      </c>
      <c r="C442" t="s">
        <v>102</v>
      </c>
      <c r="D442" t="s">
        <v>628</v>
      </c>
      <c r="E442">
        <v>0</v>
      </c>
      <c r="F442">
        <v>0</v>
      </c>
      <c r="G442">
        <v>0</v>
      </c>
      <c r="H442">
        <v>0</v>
      </c>
    </row>
    <row r="443" spans="1:8" x14ac:dyDescent="0.25">
      <c r="A443" t="s">
        <v>56</v>
      </c>
      <c r="B443">
        <v>20</v>
      </c>
      <c r="C443" t="s">
        <v>102</v>
      </c>
      <c r="D443" t="s">
        <v>674</v>
      </c>
      <c r="E443">
        <v>3</v>
      </c>
      <c r="F443">
        <v>21</v>
      </c>
      <c r="G443">
        <v>21</v>
      </c>
      <c r="H443">
        <v>0</v>
      </c>
    </row>
    <row r="444" spans="1:8" x14ac:dyDescent="0.25">
      <c r="A444" t="s">
        <v>58</v>
      </c>
      <c r="B444">
        <v>20</v>
      </c>
      <c r="C444" t="s">
        <v>102</v>
      </c>
      <c r="D444" t="s">
        <v>607</v>
      </c>
      <c r="E444">
        <v>3</v>
      </c>
      <c r="F444">
        <v>24</v>
      </c>
      <c r="G444">
        <v>24</v>
      </c>
      <c r="H444">
        <v>0</v>
      </c>
    </row>
    <row r="445" spans="1:8" x14ac:dyDescent="0.25">
      <c r="A445" t="s">
        <v>596</v>
      </c>
      <c r="B445">
        <v>20</v>
      </c>
      <c r="C445" t="s">
        <v>102</v>
      </c>
      <c r="D445" t="s">
        <v>609</v>
      </c>
      <c r="E445">
        <v>0</v>
      </c>
      <c r="F445">
        <v>0</v>
      </c>
      <c r="G445">
        <v>0</v>
      </c>
      <c r="H445">
        <v>0</v>
      </c>
    </row>
    <row r="446" spans="1:8" x14ac:dyDescent="0.25">
      <c r="A446" t="s">
        <v>596</v>
      </c>
      <c r="B446">
        <v>20</v>
      </c>
      <c r="C446" t="s">
        <v>102</v>
      </c>
      <c r="D446" t="s">
        <v>703</v>
      </c>
      <c r="E446">
        <v>0</v>
      </c>
      <c r="F446">
        <v>0</v>
      </c>
      <c r="G446">
        <v>0</v>
      </c>
      <c r="H446">
        <v>0</v>
      </c>
    </row>
    <row r="447" spans="1:8" x14ac:dyDescent="0.25">
      <c r="A447" t="s">
        <v>61</v>
      </c>
      <c r="B447">
        <v>20</v>
      </c>
      <c r="C447" t="s">
        <v>102</v>
      </c>
      <c r="D447" t="s">
        <v>643</v>
      </c>
      <c r="E447">
        <v>0</v>
      </c>
      <c r="F447">
        <v>0</v>
      </c>
      <c r="G447">
        <v>0</v>
      </c>
      <c r="H447">
        <v>0</v>
      </c>
    </row>
    <row r="448" spans="1:8" x14ac:dyDescent="0.25">
      <c r="A448" t="s">
        <v>61</v>
      </c>
      <c r="B448">
        <v>20</v>
      </c>
      <c r="C448" t="s">
        <v>102</v>
      </c>
      <c r="D448" t="s">
        <v>613</v>
      </c>
      <c r="E448">
        <v>0</v>
      </c>
      <c r="F448">
        <v>0</v>
      </c>
      <c r="G448">
        <v>0</v>
      </c>
      <c r="H448">
        <v>0</v>
      </c>
    </row>
    <row r="449" spans="1:8" x14ac:dyDescent="0.25">
      <c r="A449" t="s">
        <v>62</v>
      </c>
      <c r="B449">
        <v>20</v>
      </c>
      <c r="C449" t="s">
        <v>102</v>
      </c>
      <c r="D449" t="s">
        <v>616</v>
      </c>
      <c r="E449">
        <v>0</v>
      </c>
      <c r="F449">
        <v>0</v>
      </c>
      <c r="G449">
        <v>0</v>
      </c>
      <c r="H449">
        <v>0</v>
      </c>
    </row>
    <row r="450" spans="1:8" x14ac:dyDescent="0.25">
      <c r="A450" t="s">
        <v>62</v>
      </c>
      <c r="B450">
        <v>20</v>
      </c>
      <c r="C450" t="s">
        <v>102</v>
      </c>
      <c r="D450" t="s">
        <v>679</v>
      </c>
      <c r="E450">
        <v>0</v>
      </c>
      <c r="F450">
        <v>0</v>
      </c>
      <c r="G450">
        <v>0</v>
      </c>
      <c r="H450">
        <v>0</v>
      </c>
    </row>
    <row r="451" spans="1:8" x14ac:dyDescent="0.25">
      <c r="A451" t="s">
        <v>63</v>
      </c>
      <c r="B451">
        <v>20</v>
      </c>
      <c r="C451" t="s">
        <v>102</v>
      </c>
      <c r="D451" t="s">
        <v>609</v>
      </c>
      <c r="E451">
        <v>3</v>
      </c>
      <c r="F451">
        <v>26</v>
      </c>
      <c r="G451">
        <v>26</v>
      </c>
      <c r="H451">
        <v>0</v>
      </c>
    </row>
    <row r="452" spans="1:8" x14ac:dyDescent="0.25">
      <c r="A452" t="s">
        <v>66</v>
      </c>
      <c r="B452">
        <v>20</v>
      </c>
      <c r="C452" t="s">
        <v>102</v>
      </c>
      <c r="D452" t="s">
        <v>669</v>
      </c>
      <c r="E452">
        <v>0</v>
      </c>
      <c r="F452">
        <v>0</v>
      </c>
      <c r="G452">
        <v>0</v>
      </c>
      <c r="H452">
        <v>0</v>
      </c>
    </row>
    <row r="453" spans="1:8" x14ac:dyDescent="0.25">
      <c r="A453" t="s">
        <v>66</v>
      </c>
      <c r="B453">
        <v>20</v>
      </c>
      <c r="C453" t="s">
        <v>102</v>
      </c>
      <c r="D453" t="s">
        <v>625</v>
      </c>
      <c r="E453">
        <v>0</v>
      </c>
      <c r="F453">
        <v>0</v>
      </c>
      <c r="G453">
        <v>0</v>
      </c>
      <c r="H453">
        <v>0</v>
      </c>
    </row>
    <row r="454" spans="1:8" x14ac:dyDescent="0.25">
      <c r="A454" t="s">
        <v>67</v>
      </c>
      <c r="B454">
        <v>20</v>
      </c>
      <c r="C454" t="s">
        <v>102</v>
      </c>
      <c r="D454" t="s">
        <v>624</v>
      </c>
      <c r="E454">
        <v>0</v>
      </c>
      <c r="F454">
        <v>0</v>
      </c>
      <c r="G454">
        <v>0</v>
      </c>
      <c r="H454">
        <v>0</v>
      </c>
    </row>
    <row r="455" spans="1:8" x14ac:dyDescent="0.25">
      <c r="A455" t="s">
        <v>67</v>
      </c>
      <c r="B455">
        <v>20</v>
      </c>
      <c r="C455" t="s">
        <v>102</v>
      </c>
      <c r="D455" t="s">
        <v>738</v>
      </c>
      <c r="E455">
        <v>0</v>
      </c>
      <c r="F455">
        <v>0</v>
      </c>
      <c r="G455">
        <v>0</v>
      </c>
      <c r="H455">
        <v>0</v>
      </c>
    </row>
    <row r="456" spans="1:8" x14ac:dyDescent="0.25">
      <c r="A456" t="s">
        <v>4</v>
      </c>
      <c r="B456">
        <v>20</v>
      </c>
      <c r="C456" t="s">
        <v>103</v>
      </c>
      <c r="D456" t="s">
        <v>618</v>
      </c>
      <c r="E456">
        <v>3</v>
      </c>
      <c r="F456">
        <v>19</v>
      </c>
      <c r="G456">
        <v>19</v>
      </c>
      <c r="H456">
        <v>0</v>
      </c>
    </row>
    <row r="457" spans="1:8" x14ac:dyDescent="0.25">
      <c r="A457" t="s">
        <v>20</v>
      </c>
      <c r="B457">
        <v>20</v>
      </c>
      <c r="C457" t="s">
        <v>103</v>
      </c>
      <c r="D457" t="s">
        <v>669</v>
      </c>
      <c r="E457">
        <v>3</v>
      </c>
      <c r="F457">
        <v>23</v>
      </c>
      <c r="G457">
        <v>23</v>
      </c>
      <c r="H457">
        <v>0</v>
      </c>
    </row>
    <row r="458" spans="1:8" x14ac:dyDescent="0.25">
      <c r="A458" t="s">
        <v>27</v>
      </c>
      <c r="B458">
        <v>20</v>
      </c>
      <c r="C458" t="s">
        <v>103</v>
      </c>
      <c r="D458" t="s">
        <v>615</v>
      </c>
      <c r="E458">
        <v>0</v>
      </c>
      <c r="F458">
        <v>0</v>
      </c>
      <c r="G458">
        <v>0</v>
      </c>
      <c r="H458">
        <v>0</v>
      </c>
    </row>
    <row r="459" spans="1:8" x14ac:dyDescent="0.25">
      <c r="A459" t="s">
        <v>27</v>
      </c>
      <c r="B459">
        <v>20</v>
      </c>
      <c r="C459" t="s">
        <v>103</v>
      </c>
      <c r="D459" t="s">
        <v>739</v>
      </c>
      <c r="E459">
        <v>0</v>
      </c>
      <c r="F459">
        <v>0</v>
      </c>
      <c r="G459">
        <v>0</v>
      </c>
      <c r="H459">
        <v>0</v>
      </c>
    </row>
    <row r="460" spans="1:8" x14ac:dyDescent="0.25">
      <c r="A460" t="s">
        <v>52</v>
      </c>
      <c r="B460">
        <v>20</v>
      </c>
      <c r="C460" t="s">
        <v>103</v>
      </c>
      <c r="D460" t="s">
        <v>601</v>
      </c>
      <c r="E460">
        <v>0</v>
      </c>
      <c r="F460">
        <v>0</v>
      </c>
      <c r="G460">
        <v>0</v>
      </c>
      <c r="H460">
        <v>0</v>
      </c>
    </row>
    <row r="461" spans="1:8" x14ac:dyDescent="0.25">
      <c r="A461" t="s">
        <v>52</v>
      </c>
      <c r="B461">
        <v>20</v>
      </c>
      <c r="C461" t="s">
        <v>103</v>
      </c>
      <c r="D461" t="s">
        <v>590</v>
      </c>
      <c r="E461">
        <v>0</v>
      </c>
      <c r="F461">
        <v>0</v>
      </c>
      <c r="G461">
        <v>0</v>
      </c>
      <c r="H461">
        <v>0</v>
      </c>
    </row>
    <row r="462" spans="1:8" x14ac:dyDescent="0.25">
      <c r="A462" t="s">
        <v>4</v>
      </c>
      <c r="B462">
        <v>20</v>
      </c>
      <c r="C462" t="s">
        <v>105</v>
      </c>
      <c r="D462" t="s">
        <v>667</v>
      </c>
      <c r="E462">
        <v>3</v>
      </c>
      <c r="F462">
        <v>21</v>
      </c>
      <c r="G462">
        <v>21</v>
      </c>
      <c r="H462">
        <v>0</v>
      </c>
    </row>
    <row r="463" spans="1:8" x14ac:dyDescent="0.25">
      <c r="A463" t="s">
        <v>20</v>
      </c>
      <c r="B463">
        <v>20</v>
      </c>
      <c r="C463" t="s">
        <v>105</v>
      </c>
      <c r="D463" t="s">
        <v>669</v>
      </c>
      <c r="E463">
        <v>3</v>
      </c>
      <c r="F463">
        <v>30</v>
      </c>
      <c r="G463">
        <v>30</v>
      </c>
      <c r="H463">
        <v>0</v>
      </c>
    </row>
    <row r="464" spans="1:8" x14ac:dyDescent="0.25">
      <c r="A464" t="s">
        <v>27</v>
      </c>
      <c r="B464">
        <v>20</v>
      </c>
      <c r="C464" t="s">
        <v>105</v>
      </c>
      <c r="D464" t="s">
        <v>615</v>
      </c>
      <c r="E464">
        <v>3</v>
      </c>
      <c r="F464">
        <v>29</v>
      </c>
      <c r="G464">
        <v>29</v>
      </c>
      <c r="H464">
        <v>0</v>
      </c>
    </row>
    <row r="465" spans="1:8" x14ac:dyDescent="0.25">
      <c r="A465" t="s">
        <v>52</v>
      </c>
      <c r="B465">
        <v>20</v>
      </c>
      <c r="C465" t="s">
        <v>105</v>
      </c>
      <c r="D465" t="s">
        <v>640</v>
      </c>
      <c r="E465">
        <v>3</v>
      </c>
      <c r="F465">
        <v>60</v>
      </c>
      <c r="G465">
        <v>60</v>
      </c>
      <c r="H465">
        <v>0</v>
      </c>
    </row>
    <row r="466" spans="1:8" x14ac:dyDescent="0.25">
      <c r="A466" t="s">
        <v>54</v>
      </c>
      <c r="B466">
        <v>20</v>
      </c>
      <c r="C466" t="s">
        <v>105</v>
      </c>
      <c r="D466" t="s">
        <v>616</v>
      </c>
      <c r="E466">
        <v>3</v>
      </c>
      <c r="F466">
        <v>30</v>
      </c>
      <c r="G466">
        <v>30</v>
      </c>
      <c r="H466">
        <v>0</v>
      </c>
    </row>
    <row r="467" spans="1:8" x14ac:dyDescent="0.25">
      <c r="A467" t="s">
        <v>56</v>
      </c>
      <c r="B467">
        <v>20</v>
      </c>
      <c r="C467" t="s">
        <v>105</v>
      </c>
      <c r="D467" t="s">
        <v>643</v>
      </c>
      <c r="E467">
        <v>3</v>
      </c>
      <c r="F467">
        <v>20</v>
      </c>
      <c r="G467">
        <v>20</v>
      </c>
      <c r="H467">
        <v>0</v>
      </c>
    </row>
    <row r="468" spans="1:8" x14ac:dyDescent="0.25">
      <c r="A468" t="s">
        <v>58</v>
      </c>
      <c r="B468">
        <v>20</v>
      </c>
      <c r="C468" t="s">
        <v>105</v>
      </c>
      <c r="D468" t="s">
        <v>649</v>
      </c>
      <c r="E468">
        <v>3</v>
      </c>
      <c r="F468">
        <v>24</v>
      </c>
      <c r="G468">
        <v>24</v>
      </c>
      <c r="H468">
        <v>0</v>
      </c>
    </row>
    <row r="469" spans="1:8" x14ac:dyDescent="0.25">
      <c r="A469" t="s">
        <v>596</v>
      </c>
      <c r="B469">
        <v>20</v>
      </c>
      <c r="C469" t="s">
        <v>105</v>
      </c>
      <c r="D469" t="s">
        <v>604</v>
      </c>
      <c r="E469">
        <v>0</v>
      </c>
      <c r="F469">
        <v>0</v>
      </c>
      <c r="G469">
        <v>0</v>
      </c>
      <c r="H469">
        <v>0</v>
      </c>
    </row>
    <row r="470" spans="1:8" x14ac:dyDescent="0.25">
      <c r="A470" t="s">
        <v>596</v>
      </c>
      <c r="B470">
        <v>20</v>
      </c>
      <c r="C470" t="s">
        <v>105</v>
      </c>
      <c r="D470" t="s">
        <v>592</v>
      </c>
      <c r="E470">
        <v>0</v>
      </c>
      <c r="F470">
        <v>0</v>
      </c>
      <c r="G470">
        <v>0</v>
      </c>
      <c r="H470">
        <v>0</v>
      </c>
    </row>
    <row r="471" spans="1:8" x14ac:dyDescent="0.25">
      <c r="A471" t="s">
        <v>60</v>
      </c>
      <c r="B471">
        <v>20</v>
      </c>
      <c r="C471" t="s">
        <v>105</v>
      </c>
      <c r="D471" t="s">
        <v>618</v>
      </c>
      <c r="E471">
        <v>3</v>
      </c>
      <c r="F471">
        <v>20</v>
      </c>
      <c r="G471">
        <v>20</v>
      </c>
      <c r="H471">
        <v>0</v>
      </c>
    </row>
    <row r="472" spans="1:8" x14ac:dyDescent="0.25">
      <c r="A472" t="s">
        <v>61</v>
      </c>
      <c r="B472">
        <v>20</v>
      </c>
      <c r="C472" t="s">
        <v>105</v>
      </c>
      <c r="D472" t="s">
        <v>615</v>
      </c>
      <c r="E472">
        <v>0</v>
      </c>
      <c r="F472">
        <v>15</v>
      </c>
      <c r="G472">
        <v>15</v>
      </c>
      <c r="H472">
        <v>0</v>
      </c>
    </row>
    <row r="473" spans="1:8" x14ac:dyDescent="0.25">
      <c r="A473" t="s">
        <v>62</v>
      </c>
      <c r="B473">
        <v>20</v>
      </c>
      <c r="C473" t="s">
        <v>105</v>
      </c>
      <c r="D473" t="s">
        <v>621</v>
      </c>
      <c r="E473">
        <v>3</v>
      </c>
      <c r="F473">
        <v>59</v>
      </c>
      <c r="G473">
        <v>59</v>
      </c>
      <c r="H473">
        <v>0</v>
      </c>
    </row>
    <row r="474" spans="1:8" x14ac:dyDescent="0.25">
      <c r="A474" t="s">
        <v>63</v>
      </c>
      <c r="B474">
        <v>20</v>
      </c>
      <c r="C474" t="s">
        <v>105</v>
      </c>
      <c r="D474" t="s">
        <v>637</v>
      </c>
      <c r="E474">
        <v>3</v>
      </c>
      <c r="F474">
        <v>30</v>
      </c>
      <c r="G474">
        <v>30</v>
      </c>
      <c r="H474">
        <v>0</v>
      </c>
    </row>
    <row r="475" spans="1:8" x14ac:dyDescent="0.25">
      <c r="A475" t="s">
        <v>66</v>
      </c>
      <c r="B475">
        <v>20</v>
      </c>
      <c r="C475" t="s">
        <v>105</v>
      </c>
      <c r="D475" t="s">
        <v>674</v>
      </c>
      <c r="E475">
        <v>3</v>
      </c>
      <c r="F475">
        <v>29</v>
      </c>
      <c r="G475">
        <v>29</v>
      </c>
      <c r="H475">
        <v>0</v>
      </c>
    </row>
    <row r="476" spans="1:8" x14ac:dyDescent="0.25">
      <c r="A476" t="s">
        <v>67</v>
      </c>
      <c r="B476">
        <v>20</v>
      </c>
      <c r="C476" t="s">
        <v>105</v>
      </c>
      <c r="D476" t="s">
        <v>740</v>
      </c>
      <c r="E476">
        <v>0</v>
      </c>
      <c r="F476">
        <v>0</v>
      </c>
      <c r="G476">
        <v>0</v>
      </c>
      <c r="H476">
        <v>0</v>
      </c>
    </row>
    <row r="477" spans="1:8" x14ac:dyDescent="0.25">
      <c r="A477" t="s">
        <v>67</v>
      </c>
      <c r="B477">
        <v>20</v>
      </c>
      <c r="C477" t="s">
        <v>105</v>
      </c>
      <c r="D477" t="s">
        <v>741</v>
      </c>
      <c r="E477">
        <v>0</v>
      </c>
      <c r="F477">
        <v>0</v>
      </c>
      <c r="G477">
        <v>0</v>
      </c>
      <c r="H477">
        <v>0</v>
      </c>
    </row>
    <row r="478" spans="1:8" x14ac:dyDescent="0.25">
      <c r="A478" t="s">
        <v>4</v>
      </c>
      <c r="B478">
        <v>20</v>
      </c>
      <c r="C478" t="s">
        <v>220</v>
      </c>
      <c r="D478" t="s">
        <v>618</v>
      </c>
      <c r="E478">
        <v>3</v>
      </c>
      <c r="F478">
        <v>21</v>
      </c>
      <c r="G478">
        <v>21</v>
      </c>
      <c r="H478">
        <v>0</v>
      </c>
    </row>
    <row r="479" spans="1:8" x14ac:dyDescent="0.25">
      <c r="A479" t="s">
        <v>20</v>
      </c>
      <c r="B479">
        <v>20</v>
      </c>
      <c r="C479" t="s">
        <v>220</v>
      </c>
      <c r="D479" t="s">
        <v>612</v>
      </c>
      <c r="E479">
        <v>3</v>
      </c>
      <c r="F479">
        <v>30</v>
      </c>
      <c r="G479">
        <v>30</v>
      </c>
      <c r="H479">
        <v>0</v>
      </c>
    </row>
    <row r="480" spans="1:8" x14ac:dyDescent="0.25">
      <c r="A480" t="s">
        <v>27</v>
      </c>
      <c r="B480">
        <v>20</v>
      </c>
      <c r="C480" t="s">
        <v>220</v>
      </c>
      <c r="D480" t="s">
        <v>601</v>
      </c>
      <c r="E480">
        <v>3</v>
      </c>
      <c r="F480">
        <v>30</v>
      </c>
      <c r="G480">
        <v>30</v>
      </c>
      <c r="H480">
        <v>0</v>
      </c>
    </row>
    <row r="481" spans="1:8" x14ac:dyDescent="0.25">
      <c r="A481" t="s">
        <v>52</v>
      </c>
      <c r="B481">
        <v>20</v>
      </c>
      <c r="C481" t="s">
        <v>220</v>
      </c>
      <c r="D481" t="s">
        <v>703</v>
      </c>
      <c r="E481">
        <v>3</v>
      </c>
      <c r="F481">
        <v>60</v>
      </c>
      <c r="G481">
        <v>60</v>
      </c>
      <c r="H481">
        <v>0</v>
      </c>
    </row>
    <row r="482" spans="1:8" x14ac:dyDescent="0.25">
      <c r="A482" t="s">
        <v>54</v>
      </c>
      <c r="B482">
        <v>20</v>
      </c>
      <c r="C482" t="s">
        <v>220</v>
      </c>
      <c r="D482" t="s">
        <v>587</v>
      </c>
      <c r="E482">
        <v>3</v>
      </c>
      <c r="F482">
        <v>31</v>
      </c>
      <c r="G482">
        <v>31</v>
      </c>
      <c r="H482">
        <v>0</v>
      </c>
    </row>
    <row r="483" spans="1:8" x14ac:dyDescent="0.25">
      <c r="A483" t="s">
        <v>56</v>
      </c>
      <c r="B483">
        <v>20</v>
      </c>
      <c r="C483" t="s">
        <v>220</v>
      </c>
      <c r="D483" t="s">
        <v>636</v>
      </c>
      <c r="E483">
        <v>3</v>
      </c>
      <c r="F483">
        <v>21</v>
      </c>
      <c r="G483">
        <v>21</v>
      </c>
      <c r="H483">
        <v>0</v>
      </c>
    </row>
    <row r="484" spans="1:8" x14ac:dyDescent="0.25">
      <c r="A484" t="s">
        <v>58</v>
      </c>
      <c r="B484">
        <v>20</v>
      </c>
      <c r="C484" t="s">
        <v>220</v>
      </c>
      <c r="D484" t="s">
        <v>721</v>
      </c>
      <c r="E484">
        <v>3</v>
      </c>
      <c r="F484">
        <v>24</v>
      </c>
      <c r="G484">
        <v>24</v>
      </c>
      <c r="H484">
        <v>0</v>
      </c>
    </row>
    <row r="485" spans="1:8" x14ac:dyDescent="0.25">
      <c r="A485" t="s">
        <v>596</v>
      </c>
      <c r="B485">
        <v>20</v>
      </c>
      <c r="C485" t="s">
        <v>220</v>
      </c>
      <c r="D485" t="s">
        <v>614</v>
      </c>
      <c r="E485">
        <v>0</v>
      </c>
      <c r="F485">
        <v>0</v>
      </c>
      <c r="G485">
        <v>0</v>
      </c>
      <c r="H485">
        <v>0</v>
      </c>
    </row>
    <row r="486" spans="1:8" x14ac:dyDescent="0.25">
      <c r="A486" t="s">
        <v>596</v>
      </c>
      <c r="B486">
        <v>20</v>
      </c>
      <c r="C486" t="s">
        <v>220</v>
      </c>
      <c r="D486" t="s">
        <v>599</v>
      </c>
      <c r="E486">
        <v>0</v>
      </c>
      <c r="F486">
        <v>0</v>
      </c>
      <c r="G486">
        <v>0</v>
      </c>
      <c r="H486">
        <v>0</v>
      </c>
    </row>
    <row r="487" spans="1:8" x14ac:dyDescent="0.25">
      <c r="A487" t="s">
        <v>60</v>
      </c>
      <c r="B487">
        <v>20</v>
      </c>
      <c r="C487" t="s">
        <v>220</v>
      </c>
      <c r="D487" t="s">
        <v>670</v>
      </c>
      <c r="E487">
        <v>3</v>
      </c>
      <c r="F487">
        <v>20</v>
      </c>
      <c r="G487">
        <v>20</v>
      </c>
      <c r="H487">
        <v>0</v>
      </c>
    </row>
    <row r="488" spans="1:8" x14ac:dyDescent="0.25">
      <c r="A488" t="s">
        <v>61</v>
      </c>
      <c r="B488">
        <v>20</v>
      </c>
      <c r="C488" t="s">
        <v>220</v>
      </c>
      <c r="D488" t="s">
        <v>621</v>
      </c>
      <c r="E488">
        <v>0</v>
      </c>
      <c r="F488">
        <v>15</v>
      </c>
      <c r="G488">
        <v>15</v>
      </c>
      <c r="H488">
        <v>0</v>
      </c>
    </row>
    <row r="489" spans="1:8" x14ac:dyDescent="0.25">
      <c r="A489" t="s">
        <v>62</v>
      </c>
      <c r="B489">
        <v>20</v>
      </c>
      <c r="C489" t="s">
        <v>220</v>
      </c>
      <c r="D489" t="s">
        <v>669</v>
      </c>
      <c r="E489">
        <v>3</v>
      </c>
      <c r="F489">
        <v>59</v>
      </c>
      <c r="G489">
        <v>59</v>
      </c>
      <c r="H489">
        <v>0</v>
      </c>
    </row>
    <row r="490" spans="1:8" x14ac:dyDescent="0.25">
      <c r="A490" t="s">
        <v>63</v>
      </c>
      <c r="B490">
        <v>20</v>
      </c>
      <c r="C490" t="s">
        <v>220</v>
      </c>
      <c r="D490" t="s">
        <v>704</v>
      </c>
      <c r="E490">
        <v>3</v>
      </c>
      <c r="F490">
        <v>30</v>
      </c>
      <c r="G490">
        <v>30</v>
      </c>
      <c r="H490">
        <v>0</v>
      </c>
    </row>
    <row r="491" spans="1:8" x14ac:dyDescent="0.25">
      <c r="A491" t="s">
        <v>66</v>
      </c>
      <c r="B491">
        <v>20</v>
      </c>
      <c r="C491" t="s">
        <v>220</v>
      </c>
      <c r="D491" t="s">
        <v>632</v>
      </c>
      <c r="E491">
        <v>3</v>
      </c>
      <c r="F491">
        <v>30</v>
      </c>
      <c r="G491">
        <v>30</v>
      </c>
      <c r="H491">
        <v>0</v>
      </c>
    </row>
    <row r="492" spans="1:8" x14ac:dyDescent="0.25">
      <c r="A492" t="s">
        <v>67</v>
      </c>
      <c r="B492">
        <v>20</v>
      </c>
      <c r="C492" t="s">
        <v>220</v>
      </c>
      <c r="D492" t="s">
        <v>613</v>
      </c>
      <c r="E492">
        <v>3</v>
      </c>
      <c r="F492">
        <v>30</v>
      </c>
      <c r="G492">
        <v>30</v>
      </c>
      <c r="H492">
        <v>0</v>
      </c>
    </row>
    <row r="493" spans="1:8" x14ac:dyDescent="0.25">
      <c r="A493" t="s">
        <v>4</v>
      </c>
      <c r="B493">
        <v>20</v>
      </c>
      <c r="C493" t="s">
        <v>369</v>
      </c>
      <c r="D493" t="s">
        <v>703</v>
      </c>
      <c r="E493">
        <v>3</v>
      </c>
      <c r="F493">
        <v>21</v>
      </c>
      <c r="G493">
        <v>21</v>
      </c>
      <c r="H493">
        <v>0</v>
      </c>
    </row>
    <row r="494" spans="1:8" x14ac:dyDescent="0.25">
      <c r="A494" t="s">
        <v>20</v>
      </c>
      <c r="B494">
        <v>20</v>
      </c>
      <c r="C494" t="s">
        <v>369</v>
      </c>
      <c r="D494" t="s">
        <v>587</v>
      </c>
      <c r="E494">
        <v>3</v>
      </c>
      <c r="F494">
        <v>26</v>
      </c>
      <c r="G494">
        <v>26</v>
      </c>
      <c r="H494">
        <v>0</v>
      </c>
    </row>
    <row r="495" spans="1:8" x14ac:dyDescent="0.25">
      <c r="A495" t="s">
        <v>27</v>
      </c>
      <c r="B495">
        <v>20</v>
      </c>
      <c r="C495" t="s">
        <v>369</v>
      </c>
      <c r="D495" t="s">
        <v>615</v>
      </c>
      <c r="E495">
        <v>3</v>
      </c>
      <c r="F495">
        <v>30</v>
      </c>
      <c r="G495">
        <v>30</v>
      </c>
      <c r="H495">
        <v>0</v>
      </c>
    </row>
    <row r="496" spans="1:8" x14ac:dyDescent="0.25">
      <c r="A496" t="s">
        <v>52</v>
      </c>
      <c r="B496">
        <v>20</v>
      </c>
      <c r="C496" t="s">
        <v>369</v>
      </c>
      <c r="D496" t="s">
        <v>621</v>
      </c>
      <c r="E496">
        <v>3</v>
      </c>
      <c r="F496">
        <v>60</v>
      </c>
      <c r="G496">
        <v>60</v>
      </c>
      <c r="H496">
        <v>0</v>
      </c>
    </row>
    <row r="497" spans="1:8" x14ac:dyDescent="0.25">
      <c r="A497" t="s">
        <v>54</v>
      </c>
      <c r="B497">
        <v>20</v>
      </c>
      <c r="C497" t="s">
        <v>369</v>
      </c>
      <c r="D497" t="s">
        <v>612</v>
      </c>
      <c r="E497">
        <v>3</v>
      </c>
      <c r="F497">
        <v>22</v>
      </c>
      <c r="G497">
        <v>22</v>
      </c>
      <c r="H497">
        <v>0</v>
      </c>
    </row>
    <row r="498" spans="1:8" x14ac:dyDescent="0.25">
      <c r="A498" t="s">
        <v>56</v>
      </c>
      <c r="B498">
        <v>20</v>
      </c>
      <c r="C498" t="s">
        <v>369</v>
      </c>
      <c r="D498" t="s">
        <v>640</v>
      </c>
      <c r="E498">
        <v>3</v>
      </c>
      <c r="F498">
        <v>20</v>
      </c>
      <c r="G498">
        <v>20</v>
      </c>
      <c r="H498">
        <v>0</v>
      </c>
    </row>
    <row r="499" spans="1:8" x14ac:dyDescent="0.25">
      <c r="A499" t="s">
        <v>58</v>
      </c>
      <c r="B499">
        <v>20</v>
      </c>
      <c r="C499" t="s">
        <v>369</v>
      </c>
      <c r="D499" t="s">
        <v>742</v>
      </c>
      <c r="E499">
        <v>3</v>
      </c>
      <c r="F499">
        <v>24</v>
      </c>
      <c r="G499">
        <v>24</v>
      </c>
      <c r="H499">
        <v>0</v>
      </c>
    </row>
    <row r="500" spans="1:8" x14ac:dyDescent="0.25">
      <c r="A500" t="s">
        <v>596</v>
      </c>
      <c r="B500">
        <v>20</v>
      </c>
      <c r="C500" t="s">
        <v>369</v>
      </c>
      <c r="D500" t="s">
        <v>615</v>
      </c>
      <c r="E500">
        <v>0</v>
      </c>
      <c r="F500">
        <v>0</v>
      </c>
      <c r="G500">
        <v>0</v>
      </c>
      <c r="H500">
        <v>0</v>
      </c>
    </row>
    <row r="501" spans="1:8" x14ac:dyDescent="0.25">
      <c r="A501" t="s">
        <v>596</v>
      </c>
      <c r="B501">
        <v>20</v>
      </c>
      <c r="C501" t="s">
        <v>369</v>
      </c>
      <c r="D501" t="s">
        <v>663</v>
      </c>
      <c r="E501">
        <v>0</v>
      </c>
      <c r="F501">
        <v>0</v>
      </c>
      <c r="G501">
        <v>0</v>
      </c>
      <c r="H501">
        <v>0</v>
      </c>
    </row>
    <row r="502" spans="1:8" x14ac:dyDescent="0.25">
      <c r="A502" t="s">
        <v>60</v>
      </c>
      <c r="B502">
        <v>20</v>
      </c>
      <c r="C502" t="s">
        <v>369</v>
      </c>
      <c r="D502" t="s">
        <v>597</v>
      </c>
      <c r="E502">
        <v>3</v>
      </c>
      <c r="F502">
        <v>20</v>
      </c>
      <c r="G502">
        <v>20</v>
      </c>
      <c r="H502">
        <v>0</v>
      </c>
    </row>
    <row r="503" spans="1:8" x14ac:dyDescent="0.25">
      <c r="A503" t="s">
        <v>61</v>
      </c>
      <c r="B503">
        <v>20</v>
      </c>
      <c r="C503" t="s">
        <v>369</v>
      </c>
      <c r="D503" t="s">
        <v>647</v>
      </c>
      <c r="E503">
        <v>0</v>
      </c>
      <c r="F503">
        <v>15</v>
      </c>
      <c r="G503">
        <v>15</v>
      </c>
      <c r="H503">
        <v>0</v>
      </c>
    </row>
    <row r="504" spans="1:8" x14ac:dyDescent="0.25">
      <c r="A504" t="s">
        <v>62</v>
      </c>
      <c r="B504">
        <v>20</v>
      </c>
      <c r="C504" t="s">
        <v>369</v>
      </c>
      <c r="D504" t="s">
        <v>640</v>
      </c>
      <c r="E504">
        <v>3</v>
      </c>
      <c r="F504">
        <v>58</v>
      </c>
      <c r="G504">
        <v>58</v>
      </c>
      <c r="H504">
        <v>0</v>
      </c>
    </row>
    <row r="505" spans="1:8" x14ac:dyDescent="0.25">
      <c r="A505" t="s">
        <v>63</v>
      </c>
      <c r="B505">
        <v>20</v>
      </c>
      <c r="C505" t="s">
        <v>369</v>
      </c>
      <c r="D505" t="s">
        <v>726</v>
      </c>
      <c r="E505">
        <v>3</v>
      </c>
      <c r="F505">
        <v>30</v>
      </c>
      <c r="G505">
        <v>30</v>
      </c>
      <c r="H505">
        <v>0</v>
      </c>
    </row>
    <row r="506" spans="1:8" x14ac:dyDescent="0.25">
      <c r="A506" t="s">
        <v>66</v>
      </c>
      <c r="B506">
        <v>20</v>
      </c>
      <c r="C506" t="s">
        <v>369</v>
      </c>
      <c r="D506" t="s">
        <v>624</v>
      </c>
      <c r="E506">
        <v>3</v>
      </c>
      <c r="F506">
        <v>30</v>
      </c>
      <c r="G506">
        <v>30</v>
      </c>
      <c r="H506">
        <v>0</v>
      </c>
    </row>
    <row r="507" spans="1:8" x14ac:dyDescent="0.25">
      <c r="A507" t="s">
        <v>67</v>
      </c>
      <c r="B507">
        <v>20</v>
      </c>
      <c r="C507" t="s">
        <v>369</v>
      </c>
      <c r="D507" t="s">
        <v>654</v>
      </c>
      <c r="E507">
        <v>3</v>
      </c>
      <c r="F507">
        <v>30</v>
      </c>
      <c r="G507">
        <v>30</v>
      </c>
      <c r="H507">
        <v>0</v>
      </c>
    </row>
    <row r="508" spans="1:8" x14ac:dyDescent="0.25">
      <c r="A508" t="s">
        <v>4</v>
      </c>
      <c r="B508">
        <v>20</v>
      </c>
      <c r="C508" t="s">
        <v>490</v>
      </c>
      <c r="D508" t="s">
        <v>685</v>
      </c>
      <c r="E508">
        <v>3</v>
      </c>
      <c r="F508">
        <v>21</v>
      </c>
      <c r="G508">
        <v>21</v>
      </c>
      <c r="H508">
        <v>0</v>
      </c>
    </row>
    <row r="509" spans="1:8" x14ac:dyDescent="0.25">
      <c r="A509" t="s">
        <v>20</v>
      </c>
      <c r="B509">
        <v>20</v>
      </c>
      <c r="C509" t="s">
        <v>490</v>
      </c>
      <c r="D509" t="s">
        <v>610</v>
      </c>
      <c r="E509">
        <v>3</v>
      </c>
      <c r="F509">
        <v>30</v>
      </c>
      <c r="G509">
        <v>30</v>
      </c>
      <c r="H509">
        <v>0</v>
      </c>
    </row>
    <row r="510" spans="1:8" x14ac:dyDescent="0.25">
      <c r="A510" t="s">
        <v>27</v>
      </c>
      <c r="B510">
        <v>20</v>
      </c>
      <c r="C510" t="s">
        <v>490</v>
      </c>
      <c r="D510" t="s">
        <v>645</v>
      </c>
      <c r="E510">
        <v>2</v>
      </c>
      <c r="F510">
        <v>19</v>
      </c>
      <c r="G510">
        <v>19</v>
      </c>
      <c r="H510">
        <v>0</v>
      </c>
    </row>
    <row r="511" spans="1:8" x14ac:dyDescent="0.25">
      <c r="A511" t="s">
        <v>52</v>
      </c>
      <c r="B511">
        <v>20</v>
      </c>
      <c r="C511" t="s">
        <v>490</v>
      </c>
      <c r="D511" t="s">
        <v>588</v>
      </c>
      <c r="E511">
        <v>0</v>
      </c>
      <c r="F511">
        <v>0</v>
      </c>
      <c r="G511">
        <v>0</v>
      </c>
      <c r="H511">
        <v>0</v>
      </c>
    </row>
    <row r="512" spans="1:8" x14ac:dyDescent="0.25">
      <c r="A512" t="s">
        <v>52</v>
      </c>
      <c r="B512">
        <v>20</v>
      </c>
      <c r="C512" t="s">
        <v>490</v>
      </c>
      <c r="D512" t="s">
        <v>590</v>
      </c>
      <c r="E512">
        <v>0</v>
      </c>
      <c r="F512">
        <v>0</v>
      </c>
      <c r="G512">
        <v>0</v>
      </c>
      <c r="H512">
        <v>0</v>
      </c>
    </row>
    <row r="513" spans="1:8" x14ac:dyDescent="0.25">
      <c r="A513" t="s">
        <v>54</v>
      </c>
      <c r="B513">
        <v>20</v>
      </c>
      <c r="C513" t="s">
        <v>490</v>
      </c>
      <c r="D513" t="s">
        <v>606</v>
      </c>
      <c r="E513">
        <v>0</v>
      </c>
      <c r="F513">
        <v>0</v>
      </c>
      <c r="G513">
        <v>0</v>
      </c>
      <c r="H513">
        <v>0</v>
      </c>
    </row>
    <row r="514" spans="1:8" x14ac:dyDescent="0.25">
      <c r="A514" t="s">
        <v>54</v>
      </c>
      <c r="B514">
        <v>20</v>
      </c>
      <c r="C514" t="s">
        <v>490</v>
      </c>
      <c r="D514" t="s">
        <v>699</v>
      </c>
      <c r="E514">
        <v>0</v>
      </c>
      <c r="F514">
        <v>0</v>
      </c>
      <c r="G514">
        <v>0</v>
      </c>
      <c r="H514">
        <v>0</v>
      </c>
    </row>
    <row r="515" spans="1:8" x14ac:dyDescent="0.25">
      <c r="A515" t="s">
        <v>56</v>
      </c>
      <c r="B515">
        <v>20</v>
      </c>
      <c r="C515" t="s">
        <v>490</v>
      </c>
      <c r="D515" t="s">
        <v>667</v>
      </c>
      <c r="E515">
        <v>3</v>
      </c>
      <c r="F515">
        <v>20</v>
      </c>
      <c r="G515">
        <v>20</v>
      </c>
      <c r="H515">
        <v>0</v>
      </c>
    </row>
    <row r="516" spans="1:8" x14ac:dyDescent="0.25">
      <c r="A516" t="s">
        <v>58</v>
      </c>
      <c r="B516">
        <v>20</v>
      </c>
      <c r="C516" t="s">
        <v>490</v>
      </c>
      <c r="D516" t="s">
        <v>649</v>
      </c>
      <c r="E516">
        <v>3</v>
      </c>
      <c r="F516">
        <v>24</v>
      </c>
      <c r="G516">
        <v>24</v>
      </c>
      <c r="H516">
        <v>0</v>
      </c>
    </row>
    <row r="517" spans="1:8" x14ac:dyDescent="0.25">
      <c r="A517" t="s">
        <v>596</v>
      </c>
      <c r="B517">
        <v>20</v>
      </c>
      <c r="C517" t="s">
        <v>490</v>
      </c>
      <c r="D517" t="s">
        <v>670</v>
      </c>
      <c r="E517">
        <v>0</v>
      </c>
      <c r="F517">
        <v>0</v>
      </c>
      <c r="G517">
        <v>0</v>
      </c>
      <c r="H517">
        <v>0</v>
      </c>
    </row>
    <row r="518" spans="1:8" x14ac:dyDescent="0.25">
      <c r="A518" t="s">
        <v>596</v>
      </c>
      <c r="B518">
        <v>20</v>
      </c>
      <c r="C518" t="s">
        <v>490</v>
      </c>
      <c r="D518" t="s">
        <v>587</v>
      </c>
      <c r="E518">
        <v>0</v>
      </c>
      <c r="F518">
        <v>0</v>
      </c>
      <c r="G518">
        <v>0</v>
      </c>
      <c r="H518">
        <v>0</v>
      </c>
    </row>
    <row r="519" spans="1:8" x14ac:dyDescent="0.25">
      <c r="A519" t="s">
        <v>60</v>
      </c>
      <c r="B519">
        <v>20</v>
      </c>
      <c r="C519" t="s">
        <v>490</v>
      </c>
      <c r="D519" t="s">
        <v>721</v>
      </c>
      <c r="E519">
        <v>3</v>
      </c>
      <c r="F519">
        <v>19</v>
      </c>
      <c r="G519">
        <v>19</v>
      </c>
      <c r="H519">
        <v>0</v>
      </c>
    </row>
    <row r="520" spans="1:8" x14ac:dyDescent="0.25">
      <c r="A520" t="s">
        <v>61</v>
      </c>
      <c r="B520">
        <v>20</v>
      </c>
      <c r="C520" t="s">
        <v>490</v>
      </c>
      <c r="D520" t="s">
        <v>667</v>
      </c>
      <c r="E520">
        <v>0</v>
      </c>
      <c r="F520">
        <v>0</v>
      </c>
      <c r="G520">
        <v>0</v>
      </c>
      <c r="H520">
        <v>0</v>
      </c>
    </row>
    <row r="521" spans="1:8" x14ac:dyDescent="0.25">
      <c r="A521" t="s">
        <v>61</v>
      </c>
      <c r="B521">
        <v>20</v>
      </c>
      <c r="C521" t="s">
        <v>490</v>
      </c>
      <c r="D521" t="s">
        <v>593</v>
      </c>
      <c r="E521">
        <v>0</v>
      </c>
      <c r="F521">
        <v>0</v>
      </c>
      <c r="G521">
        <v>0</v>
      </c>
      <c r="H521">
        <v>0</v>
      </c>
    </row>
    <row r="522" spans="1:8" x14ac:dyDescent="0.25">
      <c r="A522" t="s">
        <v>62</v>
      </c>
      <c r="B522">
        <v>20</v>
      </c>
      <c r="C522" t="s">
        <v>490</v>
      </c>
      <c r="D522" t="s">
        <v>588</v>
      </c>
      <c r="E522">
        <v>0</v>
      </c>
      <c r="F522">
        <v>0</v>
      </c>
      <c r="G522">
        <v>0</v>
      </c>
      <c r="H522">
        <v>0</v>
      </c>
    </row>
    <row r="523" spans="1:8" x14ac:dyDescent="0.25">
      <c r="A523" t="s">
        <v>62</v>
      </c>
      <c r="B523">
        <v>20</v>
      </c>
      <c r="C523" t="s">
        <v>490</v>
      </c>
      <c r="D523" t="s">
        <v>625</v>
      </c>
      <c r="E523">
        <v>0</v>
      </c>
      <c r="F523">
        <v>0</v>
      </c>
      <c r="G523">
        <v>0</v>
      </c>
      <c r="H523">
        <v>0</v>
      </c>
    </row>
    <row r="524" spans="1:8" x14ac:dyDescent="0.25">
      <c r="A524" t="s">
        <v>63</v>
      </c>
      <c r="B524">
        <v>20</v>
      </c>
      <c r="C524" t="s">
        <v>490</v>
      </c>
      <c r="D524" t="s">
        <v>643</v>
      </c>
      <c r="E524">
        <v>3</v>
      </c>
      <c r="F524">
        <v>30</v>
      </c>
      <c r="G524">
        <v>30</v>
      </c>
      <c r="H524">
        <v>0</v>
      </c>
    </row>
    <row r="525" spans="1:8" x14ac:dyDescent="0.25">
      <c r="A525" t="s">
        <v>66</v>
      </c>
      <c r="B525">
        <v>20</v>
      </c>
      <c r="C525" t="s">
        <v>490</v>
      </c>
      <c r="D525" t="s">
        <v>615</v>
      </c>
      <c r="E525">
        <v>0</v>
      </c>
      <c r="F525">
        <v>0</v>
      </c>
      <c r="G525">
        <v>0</v>
      </c>
      <c r="H525">
        <v>0</v>
      </c>
    </row>
    <row r="526" spans="1:8" x14ac:dyDescent="0.25">
      <c r="A526" t="s">
        <v>66</v>
      </c>
      <c r="B526">
        <v>20</v>
      </c>
      <c r="C526" t="s">
        <v>490</v>
      </c>
      <c r="D526" t="s">
        <v>743</v>
      </c>
      <c r="E526">
        <v>0</v>
      </c>
      <c r="F526">
        <v>0</v>
      </c>
      <c r="G526">
        <v>0</v>
      </c>
      <c r="H526">
        <v>0</v>
      </c>
    </row>
    <row r="527" spans="1:8" x14ac:dyDescent="0.25">
      <c r="A527" t="s">
        <v>67</v>
      </c>
      <c r="B527">
        <v>20</v>
      </c>
      <c r="C527" t="s">
        <v>490</v>
      </c>
      <c r="D527" t="s">
        <v>677</v>
      </c>
      <c r="E527">
        <v>0</v>
      </c>
      <c r="F527">
        <v>0</v>
      </c>
      <c r="G527">
        <v>0</v>
      </c>
      <c r="H527">
        <v>0</v>
      </c>
    </row>
    <row r="528" spans="1:8" x14ac:dyDescent="0.25">
      <c r="A528" t="s">
        <v>67</v>
      </c>
      <c r="B528">
        <v>20</v>
      </c>
      <c r="C528" t="s">
        <v>490</v>
      </c>
      <c r="D528" t="s">
        <v>728</v>
      </c>
      <c r="E528">
        <v>0</v>
      </c>
      <c r="F528">
        <v>0</v>
      </c>
      <c r="G528">
        <v>0</v>
      </c>
      <c r="H528">
        <v>0</v>
      </c>
    </row>
    <row r="529" spans="1:8" x14ac:dyDescent="0.25">
      <c r="A529" t="s">
        <v>4</v>
      </c>
      <c r="B529">
        <v>20</v>
      </c>
      <c r="C529" t="s">
        <v>519</v>
      </c>
      <c r="D529" t="s">
        <v>667</v>
      </c>
      <c r="E529">
        <v>3</v>
      </c>
      <c r="F529">
        <v>21</v>
      </c>
      <c r="G529">
        <v>21</v>
      </c>
      <c r="H529">
        <v>0</v>
      </c>
    </row>
    <row r="530" spans="1:8" x14ac:dyDescent="0.25">
      <c r="A530" t="s">
        <v>20</v>
      </c>
      <c r="B530">
        <v>20</v>
      </c>
      <c r="C530" t="s">
        <v>519</v>
      </c>
      <c r="D530" t="s">
        <v>610</v>
      </c>
      <c r="E530">
        <v>3</v>
      </c>
      <c r="F530">
        <v>26</v>
      </c>
      <c r="G530">
        <v>26</v>
      </c>
      <c r="H530">
        <v>0</v>
      </c>
    </row>
    <row r="531" spans="1:8" x14ac:dyDescent="0.25">
      <c r="A531" t="s">
        <v>27</v>
      </c>
      <c r="B531">
        <v>20</v>
      </c>
      <c r="C531" t="s">
        <v>519</v>
      </c>
      <c r="D531" t="s">
        <v>610</v>
      </c>
      <c r="E531">
        <v>0</v>
      </c>
      <c r="F531">
        <v>0</v>
      </c>
      <c r="G531">
        <v>0</v>
      </c>
      <c r="H531">
        <v>0</v>
      </c>
    </row>
    <row r="532" spans="1:8" x14ac:dyDescent="0.25">
      <c r="A532" t="s">
        <v>27</v>
      </c>
      <c r="B532">
        <v>20</v>
      </c>
      <c r="C532" t="s">
        <v>519</v>
      </c>
      <c r="D532" t="s">
        <v>679</v>
      </c>
      <c r="E532">
        <v>0</v>
      </c>
      <c r="F532">
        <v>0</v>
      </c>
      <c r="G532">
        <v>0</v>
      </c>
      <c r="H532">
        <v>0</v>
      </c>
    </row>
    <row r="533" spans="1:8" x14ac:dyDescent="0.25">
      <c r="A533" t="s">
        <v>52</v>
      </c>
      <c r="B533">
        <v>20</v>
      </c>
      <c r="C533" t="s">
        <v>519</v>
      </c>
      <c r="D533" t="s">
        <v>601</v>
      </c>
      <c r="E533">
        <v>0</v>
      </c>
      <c r="F533">
        <v>0</v>
      </c>
      <c r="G533">
        <v>0</v>
      </c>
      <c r="H533">
        <v>0</v>
      </c>
    </row>
    <row r="534" spans="1:8" x14ac:dyDescent="0.25">
      <c r="A534" t="s">
        <v>52</v>
      </c>
      <c r="B534">
        <v>20</v>
      </c>
      <c r="C534" t="s">
        <v>519</v>
      </c>
      <c r="D534" t="s">
        <v>699</v>
      </c>
      <c r="E534">
        <v>0</v>
      </c>
      <c r="F534">
        <v>0</v>
      </c>
      <c r="G534">
        <v>0</v>
      </c>
      <c r="H534">
        <v>0</v>
      </c>
    </row>
    <row r="535" spans="1:8" x14ac:dyDescent="0.25">
      <c r="A535" t="s">
        <v>54</v>
      </c>
      <c r="B535">
        <v>20</v>
      </c>
      <c r="C535" t="s">
        <v>519</v>
      </c>
      <c r="D535" t="s">
        <v>618</v>
      </c>
      <c r="E535">
        <v>0</v>
      </c>
      <c r="F535">
        <v>0</v>
      </c>
      <c r="G535">
        <v>0</v>
      </c>
      <c r="H535">
        <v>0</v>
      </c>
    </row>
    <row r="536" spans="1:8" x14ac:dyDescent="0.25">
      <c r="A536" t="s">
        <v>54</v>
      </c>
      <c r="B536">
        <v>20</v>
      </c>
      <c r="C536" t="s">
        <v>519</v>
      </c>
      <c r="D536" t="s">
        <v>743</v>
      </c>
      <c r="E536">
        <v>0</v>
      </c>
      <c r="F536">
        <v>0</v>
      </c>
      <c r="G536">
        <v>0</v>
      </c>
      <c r="H536">
        <v>0</v>
      </c>
    </row>
    <row r="537" spans="1:8" x14ac:dyDescent="0.25">
      <c r="A537" t="s">
        <v>56</v>
      </c>
      <c r="B537">
        <v>20</v>
      </c>
      <c r="C537" t="s">
        <v>519</v>
      </c>
      <c r="D537" t="s">
        <v>667</v>
      </c>
      <c r="E537">
        <v>3</v>
      </c>
      <c r="F537">
        <v>20</v>
      </c>
      <c r="G537">
        <v>20</v>
      </c>
      <c r="H537">
        <v>0</v>
      </c>
    </row>
    <row r="538" spans="1:8" x14ac:dyDescent="0.25">
      <c r="A538" t="s">
        <v>58</v>
      </c>
      <c r="B538">
        <v>20</v>
      </c>
      <c r="C538" t="s">
        <v>519</v>
      </c>
      <c r="D538" t="s">
        <v>649</v>
      </c>
      <c r="E538">
        <v>3</v>
      </c>
      <c r="F538">
        <v>23</v>
      </c>
      <c r="G538">
        <v>23</v>
      </c>
      <c r="H538">
        <v>0</v>
      </c>
    </row>
    <row r="539" spans="1:8" x14ac:dyDescent="0.25">
      <c r="A539" t="s">
        <v>596</v>
      </c>
      <c r="B539">
        <v>20</v>
      </c>
      <c r="C539" t="s">
        <v>519</v>
      </c>
      <c r="D539" t="s">
        <v>619</v>
      </c>
      <c r="E539">
        <v>0</v>
      </c>
      <c r="F539">
        <v>0</v>
      </c>
      <c r="G539">
        <v>0</v>
      </c>
      <c r="H539">
        <v>0</v>
      </c>
    </row>
    <row r="540" spans="1:8" x14ac:dyDescent="0.25">
      <c r="A540" t="s">
        <v>596</v>
      </c>
      <c r="B540">
        <v>20</v>
      </c>
      <c r="C540" t="s">
        <v>519</v>
      </c>
      <c r="D540" t="s">
        <v>621</v>
      </c>
      <c r="E540">
        <v>0</v>
      </c>
      <c r="F540">
        <v>0</v>
      </c>
      <c r="G540">
        <v>0</v>
      </c>
      <c r="H540">
        <v>0</v>
      </c>
    </row>
    <row r="541" spans="1:8" x14ac:dyDescent="0.25">
      <c r="A541" t="s">
        <v>60</v>
      </c>
      <c r="B541">
        <v>20</v>
      </c>
      <c r="C541" t="s">
        <v>519</v>
      </c>
      <c r="D541" t="s">
        <v>586</v>
      </c>
      <c r="E541">
        <v>3</v>
      </c>
      <c r="F541">
        <v>19</v>
      </c>
      <c r="G541">
        <v>19</v>
      </c>
      <c r="H541">
        <v>0</v>
      </c>
    </row>
    <row r="542" spans="1:8" x14ac:dyDescent="0.25">
      <c r="A542" t="s">
        <v>61</v>
      </c>
      <c r="B542">
        <v>20</v>
      </c>
      <c r="C542" t="s">
        <v>519</v>
      </c>
      <c r="D542" t="s">
        <v>629</v>
      </c>
      <c r="E542">
        <v>0</v>
      </c>
      <c r="F542">
        <v>0</v>
      </c>
      <c r="G542">
        <v>0</v>
      </c>
      <c r="H542">
        <v>0</v>
      </c>
    </row>
    <row r="543" spans="1:8" x14ac:dyDescent="0.25">
      <c r="A543" t="s">
        <v>61</v>
      </c>
      <c r="B543">
        <v>20</v>
      </c>
      <c r="C543" t="s">
        <v>519</v>
      </c>
      <c r="D543" t="s">
        <v>733</v>
      </c>
      <c r="E543">
        <v>0</v>
      </c>
      <c r="F543">
        <v>0</v>
      </c>
      <c r="G543">
        <v>0</v>
      </c>
      <c r="H543">
        <v>0</v>
      </c>
    </row>
    <row r="544" spans="1:8" x14ac:dyDescent="0.25">
      <c r="A544" t="s">
        <v>62</v>
      </c>
      <c r="B544">
        <v>20</v>
      </c>
      <c r="C544" t="s">
        <v>519</v>
      </c>
      <c r="D544" t="s">
        <v>588</v>
      </c>
      <c r="E544">
        <v>0</v>
      </c>
      <c r="F544">
        <v>0</v>
      </c>
      <c r="G544">
        <v>0</v>
      </c>
      <c r="H544">
        <v>0</v>
      </c>
    </row>
    <row r="545" spans="1:8" x14ac:dyDescent="0.25">
      <c r="A545" t="s">
        <v>62</v>
      </c>
      <c r="B545">
        <v>20</v>
      </c>
      <c r="C545" t="s">
        <v>519</v>
      </c>
      <c r="D545" t="s">
        <v>625</v>
      </c>
      <c r="E545">
        <v>0</v>
      </c>
      <c r="F545">
        <v>0</v>
      </c>
      <c r="G545">
        <v>0</v>
      </c>
      <c r="H545">
        <v>0</v>
      </c>
    </row>
    <row r="546" spans="1:8" x14ac:dyDescent="0.25">
      <c r="A546" t="s">
        <v>63</v>
      </c>
      <c r="B546">
        <v>20</v>
      </c>
      <c r="C546" t="s">
        <v>519</v>
      </c>
      <c r="D546" t="s">
        <v>650</v>
      </c>
      <c r="E546">
        <v>3</v>
      </c>
      <c r="F546">
        <v>30</v>
      </c>
      <c r="G546">
        <v>30</v>
      </c>
      <c r="H546">
        <v>0</v>
      </c>
    </row>
    <row r="547" spans="1:8" x14ac:dyDescent="0.25">
      <c r="A547" t="s">
        <v>66</v>
      </c>
      <c r="B547">
        <v>20</v>
      </c>
      <c r="C547" t="s">
        <v>519</v>
      </c>
      <c r="D547" t="s">
        <v>616</v>
      </c>
      <c r="E547">
        <v>0</v>
      </c>
      <c r="F547">
        <v>0</v>
      </c>
      <c r="G547">
        <v>0</v>
      </c>
      <c r="H547">
        <v>0</v>
      </c>
    </row>
    <row r="548" spans="1:8" x14ac:dyDescent="0.25">
      <c r="A548" t="s">
        <v>66</v>
      </c>
      <c r="B548">
        <v>20</v>
      </c>
      <c r="C548" t="s">
        <v>519</v>
      </c>
      <c r="D548" t="s">
        <v>692</v>
      </c>
      <c r="E548">
        <v>0</v>
      </c>
      <c r="F548">
        <v>0</v>
      </c>
      <c r="G548">
        <v>0</v>
      </c>
      <c r="H548">
        <v>0</v>
      </c>
    </row>
    <row r="549" spans="1:8" x14ac:dyDescent="0.25">
      <c r="A549" t="s">
        <v>67</v>
      </c>
      <c r="B549">
        <v>20</v>
      </c>
      <c r="C549" t="s">
        <v>519</v>
      </c>
      <c r="D549" t="s">
        <v>654</v>
      </c>
      <c r="E549">
        <v>0</v>
      </c>
      <c r="F549">
        <v>0</v>
      </c>
      <c r="G549">
        <v>0</v>
      </c>
      <c r="H549">
        <v>0</v>
      </c>
    </row>
    <row r="550" spans="1:8" x14ac:dyDescent="0.25">
      <c r="A550" t="s">
        <v>67</v>
      </c>
      <c r="B550">
        <v>20</v>
      </c>
      <c r="C550" t="s">
        <v>519</v>
      </c>
      <c r="D550" t="s">
        <v>672</v>
      </c>
      <c r="E550">
        <v>0</v>
      </c>
      <c r="F550">
        <v>0</v>
      </c>
      <c r="G550">
        <v>0</v>
      </c>
      <c r="H550">
        <v>0</v>
      </c>
    </row>
    <row r="551" spans="1:8" x14ac:dyDescent="0.25">
      <c r="A551" t="s">
        <v>4</v>
      </c>
      <c r="B551">
        <v>20</v>
      </c>
      <c r="C551" t="s">
        <v>549</v>
      </c>
      <c r="D551" t="s">
        <v>726</v>
      </c>
      <c r="E551">
        <v>3</v>
      </c>
      <c r="F551">
        <v>21</v>
      </c>
      <c r="G551">
        <v>21</v>
      </c>
      <c r="H551">
        <v>0</v>
      </c>
    </row>
    <row r="552" spans="1:8" x14ac:dyDescent="0.25">
      <c r="A552" t="s">
        <v>20</v>
      </c>
      <c r="B552">
        <v>20</v>
      </c>
      <c r="C552" t="s">
        <v>549</v>
      </c>
      <c r="D552" t="s">
        <v>618</v>
      </c>
      <c r="E552">
        <v>3</v>
      </c>
      <c r="F552">
        <v>29</v>
      </c>
      <c r="G552">
        <v>29</v>
      </c>
      <c r="H552">
        <v>0</v>
      </c>
    </row>
    <row r="553" spans="1:8" x14ac:dyDescent="0.25">
      <c r="A553" t="s">
        <v>27</v>
      </c>
      <c r="B553">
        <v>20</v>
      </c>
      <c r="C553" t="s">
        <v>549</v>
      </c>
      <c r="D553" t="s">
        <v>606</v>
      </c>
      <c r="E553">
        <v>0</v>
      </c>
      <c r="F553">
        <v>0</v>
      </c>
      <c r="G553">
        <v>0</v>
      </c>
      <c r="H553">
        <v>0</v>
      </c>
    </row>
    <row r="554" spans="1:8" x14ac:dyDescent="0.25">
      <c r="A554" t="s">
        <v>27</v>
      </c>
      <c r="B554">
        <v>20</v>
      </c>
      <c r="C554" t="s">
        <v>549</v>
      </c>
      <c r="D554" t="s">
        <v>739</v>
      </c>
      <c r="E554">
        <v>0</v>
      </c>
      <c r="F554">
        <v>0</v>
      </c>
      <c r="G554">
        <v>0</v>
      </c>
      <c r="H554">
        <v>0</v>
      </c>
    </row>
    <row r="555" spans="1:8" x14ac:dyDescent="0.25">
      <c r="A555" t="s">
        <v>52</v>
      </c>
      <c r="B555">
        <v>20</v>
      </c>
      <c r="C555" t="s">
        <v>549</v>
      </c>
      <c r="D555" t="s">
        <v>601</v>
      </c>
      <c r="E555">
        <v>0</v>
      </c>
      <c r="F555">
        <v>0</v>
      </c>
      <c r="G555">
        <v>0</v>
      </c>
      <c r="H555">
        <v>0</v>
      </c>
    </row>
    <row r="556" spans="1:8" x14ac:dyDescent="0.25">
      <c r="A556" t="s">
        <v>52</v>
      </c>
      <c r="B556">
        <v>20</v>
      </c>
      <c r="C556" t="s">
        <v>549</v>
      </c>
      <c r="D556" t="s">
        <v>693</v>
      </c>
      <c r="E556">
        <v>0</v>
      </c>
      <c r="F556">
        <v>0</v>
      </c>
      <c r="G556">
        <v>0</v>
      </c>
      <c r="H556">
        <v>0</v>
      </c>
    </row>
    <row r="557" spans="1:8" x14ac:dyDescent="0.25">
      <c r="A557" t="s">
        <v>54</v>
      </c>
      <c r="B557">
        <v>20</v>
      </c>
      <c r="C557" t="s">
        <v>549</v>
      </c>
      <c r="D557" t="s">
        <v>605</v>
      </c>
      <c r="E557">
        <v>0</v>
      </c>
      <c r="F557">
        <v>0</v>
      </c>
      <c r="G557">
        <v>0</v>
      </c>
      <c r="H557">
        <v>0</v>
      </c>
    </row>
    <row r="558" spans="1:8" x14ac:dyDescent="0.25">
      <c r="A558" t="s">
        <v>54</v>
      </c>
      <c r="B558">
        <v>20</v>
      </c>
      <c r="C558" t="s">
        <v>549</v>
      </c>
      <c r="D558" t="s">
        <v>630</v>
      </c>
      <c r="E558">
        <v>0</v>
      </c>
      <c r="F558">
        <v>0</v>
      </c>
      <c r="G558">
        <v>0</v>
      </c>
      <c r="H558">
        <v>0</v>
      </c>
    </row>
    <row r="559" spans="1:8" x14ac:dyDescent="0.25">
      <c r="A559" t="s">
        <v>56</v>
      </c>
      <c r="B559">
        <v>20</v>
      </c>
      <c r="C559" t="s">
        <v>549</v>
      </c>
      <c r="D559" t="s">
        <v>726</v>
      </c>
      <c r="E559">
        <v>3</v>
      </c>
      <c r="F559">
        <v>19</v>
      </c>
      <c r="G559">
        <v>19</v>
      </c>
      <c r="H559">
        <v>0</v>
      </c>
    </row>
    <row r="560" spans="1:8" x14ac:dyDescent="0.25">
      <c r="A560" t="s">
        <v>58</v>
      </c>
      <c r="B560">
        <v>20</v>
      </c>
      <c r="C560" t="s">
        <v>549</v>
      </c>
      <c r="D560" t="s">
        <v>711</v>
      </c>
      <c r="E560">
        <v>3</v>
      </c>
      <c r="F560">
        <v>24</v>
      </c>
      <c r="G560">
        <v>24</v>
      </c>
      <c r="H560">
        <v>0</v>
      </c>
    </row>
    <row r="561" spans="1:8" x14ac:dyDescent="0.25">
      <c r="A561" t="s">
        <v>596</v>
      </c>
      <c r="B561">
        <v>20</v>
      </c>
      <c r="C561" t="s">
        <v>549</v>
      </c>
      <c r="D561" t="s">
        <v>704</v>
      </c>
      <c r="E561">
        <v>0</v>
      </c>
      <c r="F561">
        <v>0</v>
      </c>
      <c r="G561">
        <v>0</v>
      </c>
      <c r="H561">
        <v>0</v>
      </c>
    </row>
    <row r="562" spans="1:8" x14ac:dyDescent="0.25">
      <c r="A562" t="s">
        <v>596</v>
      </c>
      <c r="B562">
        <v>20</v>
      </c>
      <c r="C562" t="s">
        <v>549</v>
      </c>
      <c r="D562" t="s">
        <v>640</v>
      </c>
      <c r="E562">
        <v>0</v>
      </c>
      <c r="F562">
        <v>0</v>
      </c>
      <c r="G562">
        <v>0</v>
      </c>
      <c r="H562">
        <v>0</v>
      </c>
    </row>
    <row r="563" spans="1:8" x14ac:dyDescent="0.25">
      <c r="A563" t="s">
        <v>60</v>
      </c>
      <c r="B563">
        <v>20</v>
      </c>
      <c r="C563" t="s">
        <v>549</v>
      </c>
      <c r="D563" t="s">
        <v>705</v>
      </c>
      <c r="E563">
        <v>3</v>
      </c>
      <c r="F563">
        <v>21</v>
      </c>
      <c r="G563">
        <v>21</v>
      </c>
      <c r="H563">
        <v>0</v>
      </c>
    </row>
    <row r="564" spans="1:8" x14ac:dyDescent="0.25">
      <c r="A564" t="s">
        <v>61</v>
      </c>
      <c r="B564">
        <v>20</v>
      </c>
      <c r="C564" t="s">
        <v>549</v>
      </c>
      <c r="D564" t="s">
        <v>726</v>
      </c>
      <c r="E564">
        <v>0</v>
      </c>
      <c r="F564">
        <v>0</v>
      </c>
      <c r="G564">
        <v>0</v>
      </c>
      <c r="H564">
        <v>0</v>
      </c>
    </row>
    <row r="565" spans="1:8" x14ac:dyDescent="0.25">
      <c r="A565" t="s">
        <v>61</v>
      </c>
      <c r="B565">
        <v>20</v>
      </c>
      <c r="C565" t="s">
        <v>549</v>
      </c>
      <c r="D565" t="s">
        <v>593</v>
      </c>
      <c r="E565">
        <v>0</v>
      </c>
      <c r="F565">
        <v>0</v>
      </c>
      <c r="G565">
        <v>0</v>
      </c>
      <c r="H565">
        <v>0</v>
      </c>
    </row>
    <row r="566" spans="1:8" x14ac:dyDescent="0.25">
      <c r="A566" t="s">
        <v>62</v>
      </c>
      <c r="B566">
        <v>20</v>
      </c>
      <c r="C566" t="s">
        <v>549</v>
      </c>
      <c r="D566" t="s">
        <v>588</v>
      </c>
      <c r="E566">
        <v>0</v>
      </c>
      <c r="F566">
        <v>0</v>
      </c>
      <c r="G566">
        <v>0</v>
      </c>
      <c r="H566">
        <v>0</v>
      </c>
    </row>
    <row r="567" spans="1:8" x14ac:dyDescent="0.25">
      <c r="A567" t="s">
        <v>62</v>
      </c>
      <c r="B567">
        <v>20</v>
      </c>
      <c r="C567" t="s">
        <v>549</v>
      </c>
      <c r="D567" t="s">
        <v>713</v>
      </c>
      <c r="E567">
        <v>0</v>
      </c>
      <c r="F567">
        <v>0</v>
      </c>
      <c r="G567">
        <v>0</v>
      </c>
      <c r="H567">
        <v>0</v>
      </c>
    </row>
    <row r="568" spans="1:8" x14ac:dyDescent="0.25">
      <c r="A568" t="s">
        <v>63</v>
      </c>
      <c r="B568">
        <v>20</v>
      </c>
      <c r="C568" t="s">
        <v>549</v>
      </c>
      <c r="D568" t="s">
        <v>611</v>
      </c>
      <c r="E568">
        <v>3</v>
      </c>
      <c r="F568">
        <v>29</v>
      </c>
      <c r="G568">
        <v>29</v>
      </c>
      <c r="H568">
        <v>0</v>
      </c>
    </row>
    <row r="569" spans="1:8" x14ac:dyDescent="0.25">
      <c r="A569" t="s">
        <v>66</v>
      </c>
      <c r="B569">
        <v>20</v>
      </c>
      <c r="C569" t="s">
        <v>549</v>
      </c>
      <c r="D569" t="s">
        <v>597</v>
      </c>
      <c r="E569">
        <v>0</v>
      </c>
      <c r="F569">
        <v>0</v>
      </c>
      <c r="G569">
        <v>0</v>
      </c>
      <c r="H569">
        <v>0</v>
      </c>
    </row>
    <row r="570" spans="1:8" x14ac:dyDescent="0.25">
      <c r="A570" t="s">
        <v>66</v>
      </c>
      <c r="B570">
        <v>20</v>
      </c>
      <c r="C570" t="s">
        <v>549</v>
      </c>
      <c r="D570" t="s">
        <v>652</v>
      </c>
      <c r="E570">
        <v>0</v>
      </c>
      <c r="F570">
        <v>0</v>
      </c>
      <c r="G570">
        <v>0</v>
      </c>
      <c r="H570">
        <v>0</v>
      </c>
    </row>
    <row r="571" spans="1:8" x14ac:dyDescent="0.25">
      <c r="A571" t="s">
        <v>67</v>
      </c>
      <c r="B571">
        <v>20</v>
      </c>
      <c r="C571" t="s">
        <v>549</v>
      </c>
      <c r="D571" t="s">
        <v>624</v>
      </c>
      <c r="E571">
        <v>0</v>
      </c>
      <c r="F571">
        <v>0</v>
      </c>
      <c r="G571">
        <v>0</v>
      </c>
      <c r="H571">
        <v>0</v>
      </c>
    </row>
    <row r="572" spans="1:8" x14ac:dyDescent="0.25">
      <c r="A572" t="s">
        <v>67</v>
      </c>
      <c r="B572">
        <v>20</v>
      </c>
      <c r="C572" t="s">
        <v>549</v>
      </c>
      <c r="D572" t="s">
        <v>744</v>
      </c>
      <c r="E572">
        <v>0</v>
      </c>
      <c r="F572">
        <v>0</v>
      </c>
      <c r="G572">
        <v>0</v>
      </c>
      <c r="H572">
        <v>0</v>
      </c>
    </row>
    <row r="573" spans="1:8" x14ac:dyDescent="0.25">
      <c r="A573" t="s">
        <v>4</v>
      </c>
      <c r="B573">
        <v>20</v>
      </c>
      <c r="D573" t="s">
        <v>673</v>
      </c>
      <c r="E573">
        <v>0</v>
      </c>
      <c r="F573">
        <v>0</v>
      </c>
      <c r="G573">
        <v>0</v>
      </c>
      <c r="H573">
        <v>0</v>
      </c>
    </row>
    <row r="574" spans="1:8" x14ac:dyDescent="0.25">
      <c r="A574" t="s">
        <v>4</v>
      </c>
      <c r="B574">
        <v>20</v>
      </c>
      <c r="D574" t="s">
        <v>743</v>
      </c>
      <c r="E574">
        <v>0</v>
      </c>
      <c r="F574">
        <v>0</v>
      </c>
      <c r="G574">
        <v>0</v>
      </c>
      <c r="H574">
        <v>0</v>
      </c>
    </row>
    <row r="575" spans="1:8" x14ac:dyDescent="0.25">
      <c r="A575" t="s">
        <v>20</v>
      </c>
      <c r="B575">
        <v>20</v>
      </c>
      <c r="D575" t="s">
        <v>632</v>
      </c>
      <c r="E575">
        <v>0</v>
      </c>
      <c r="F575">
        <v>0</v>
      </c>
      <c r="G575">
        <v>0</v>
      </c>
      <c r="H575">
        <v>0</v>
      </c>
    </row>
    <row r="576" spans="1:8" x14ac:dyDescent="0.25">
      <c r="A576" t="s">
        <v>20</v>
      </c>
      <c r="B576">
        <v>20</v>
      </c>
      <c r="D576" t="s">
        <v>745</v>
      </c>
      <c r="E576">
        <v>0</v>
      </c>
      <c r="F576">
        <v>0</v>
      </c>
      <c r="G576">
        <v>0</v>
      </c>
      <c r="H576">
        <v>0</v>
      </c>
    </row>
    <row r="577" spans="1:8" x14ac:dyDescent="0.25">
      <c r="A577" t="s">
        <v>52</v>
      </c>
      <c r="B577">
        <v>20</v>
      </c>
      <c r="D577" t="s">
        <v>673</v>
      </c>
      <c r="E577">
        <v>0</v>
      </c>
      <c r="F577">
        <v>0</v>
      </c>
      <c r="G577">
        <v>0</v>
      </c>
      <c r="H577">
        <v>0</v>
      </c>
    </row>
    <row r="578" spans="1:8" x14ac:dyDescent="0.25">
      <c r="A578" t="s">
        <v>52</v>
      </c>
      <c r="B578">
        <v>20</v>
      </c>
      <c r="D578" t="s">
        <v>713</v>
      </c>
      <c r="E578">
        <v>0</v>
      </c>
      <c r="F578">
        <v>0</v>
      </c>
      <c r="G578">
        <v>0</v>
      </c>
      <c r="H578">
        <v>0</v>
      </c>
    </row>
    <row r="579" spans="1:8" x14ac:dyDescent="0.25">
      <c r="A579" t="s">
        <v>54</v>
      </c>
      <c r="B579">
        <v>20</v>
      </c>
      <c r="D579" t="s">
        <v>696</v>
      </c>
      <c r="E579">
        <v>0</v>
      </c>
      <c r="F579">
        <v>0</v>
      </c>
      <c r="G579">
        <v>0</v>
      </c>
      <c r="H579">
        <v>0</v>
      </c>
    </row>
    <row r="580" spans="1:8" x14ac:dyDescent="0.25">
      <c r="A580" t="s">
        <v>54</v>
      </c>
      <c r="B580">
        <v>20</v>
      </c>
      <c r="D580" t="s">
        <v>678</v>
      </c>
      <c r="E580">
        <v>0</v>
      </c>
      <c r="F580">
        <v>0</v>
      </c>
      <c r="G580">
        <v>0</v>
      </c>
      <c r="H580">
        <v>0</v>
      </c>
    </row>
    <row r="581" spans="1:8" x14ac:dyDescent="0.25">
      <c r="A581" t="s">
        <v>56</v>
      </c>
      <c r="B581">
        <v>20</v>
      </c>
      <c r="D581" t="s">
        <v>606</v>
      </c>
      <c r="E581">
        <v>0</v>
      </c>
      <c r="F581">
        <v>0</v>
      </c>
      <c r="G581">
        <v>0</v>
      </c>
      <c r="H581">
        <v>0</v>
      </c>
    </row>
    <row r="582" spans="1:8" x14ac:dyDescent="0.25">
      <c r="A582" t="s">
        <v>56</v>
      </c>
      <c r="B582">
        <v>20</v>
      </c>
      <c r="D582" t="s">
        <v>663</v>
      </c>
      <c r="E582">
        <v>0</v>
      </c>
      <c r="F582">
        <v>0</v>
      </c>
      <c r="G582">
        <v>0</v>
      </c>
      <c r="H582">
        <v>0</v>
      </c>
    </row>
    <row r="583" spans="1:8" x14ac:dyDescent="0.25">
      <c r="A583" t="s">
        <v>58</v>
      </c>
      <c r="B583">
        <v>20</v>
      </c>
      <c r="D583" t="s">
        <v>686</v>
      </c>
      <c r="E583">
        <v>0</v>
      </c>
      <c r="F583">
        <v>0</v>
      </c>
      <c r="G583">
        <v>0</v>
      </c>
      <c r="H583">
        <v>0</v>
      </c>
    </row>
    <row r="584" spans="1:8" x14ac:dyDescent="0.25">
      <c r="A584" t="s">
        <v>58</v>
      </c>
      <c r="B584">
        <v>20</v>
      </c>
      <c r="D584" t="s">
        <v>681</v>
      </c>
      <c r="E584">
        <v>0</v>
      </c>
      <c r="F584">
        <v>0</v>
      </c>
      <c r="G584">
        <v>0</v>
      </c>
      <c r="H584">
        <v>0</v>
      </c>
    </row>
    <row r="585" spans="1:8" x14ac:dyDescent="0.25">
      <c r="A585" t="s">
        <v>596</v>
      </c>
      <c r="B585">
        <v>20</v>
      </c>
      <c r="D585" t="s">
        <v>616</v>
      </c>
      <c r="E585">
        <v>0</v>
      </c>
      <c r="F585">
        <v>0</v>
      </c>
      <c r="G585">
        <v>0</v>
      </c>
      <c r="H585">
        <v>0</v>
      </c>
    </row>
    <row r="586" spans="1:8" x14ac:dyDescent="0.25">
      <c r="A586" t="s">
        <v>596</v>
      </c>
      <c r="B586">
        <v>20</v>
      </c>
      <c r="D586" t="s">
        <v>743</v>
      </c>
      <c r="E586">
        <v>0</v>
      </c>
      <c r="F586">
        <v>0</v>
      </c>
      <c r="G586">
        <v>0</v>
      </c>
      <c r="H586">
        <v>0</v>
      </c>
    </row>
    <row r="587" spans="1:8" x14ac:dyDescent="0.25">
      <c r="A587" t="s">
        <v>60</v>
      </c>
      <c r="B587">
        <v>20</v>
      </c>
      <c r="D587" t="s">
        <v>606</v>
      </c>
      <c r="E587">
        <v>0</v>
      </c>
      <c r="F587">
        <v>0</v>
      </c>
      <c r="G587">
        <v>0</v>
      </c>
      <c r="H587">
        <v>0</v>
      </c>
    </row>
    <row r="588" spans="1:8" x14ac:dyDescent="0.25">
      <c r="A588" t="s">
        <v>60</v>
      </c>
      <c r="B588">
        <v>20</v>
      </c>
      <c r="D588" t="s">
        <v>625</v>
      </c>
      <c r="E588">
        <v>0</v>
      </c>
      <c r="F588">
        <v>0</v>
      </c>
      <c r="G588">
        <v>0</v>
      </c>
      <c r="H588">
        <v>0</v>
      </c>
    </row>
    <row r="589" spans="1:8" x14ac:dyDescent="0.25">
      <c r="A589" t="s">
        <v>61</v>
      </c>
      <c r="B589">
        <v>20</v>
      </c>
      <c r="D589" t="s">
        <v>686</v>
      </c>
      <c r="E589">
        <v>0</v>
      </c>
      <c r="F589">
        <v>0</v>
      </c>
      <c r="G589">
        <v>0</v>
      </c>
      <c r="H589">
        <v>0</v>
      </c>
    </row>
    <row r="590" spans="1:8" x14ac:dyDescent="0.25">
      <c r="A590" t="s">
        <v>61</v>
      </c>
      <c r="B590">
        <v>20</v>
      </c>
      <c r="D590" t="s">
        <v>687</v>
      </c>
      <c r="E590">
        <v>0</v>
      </c>
      <c r="F590">
        <v>0</v>
      </c>
      <c r="G590">
        <v>0</v>
      </c>
      <c r="H590">
        <v>0</v>
      </c>
    </row>
    <row r="591" spans="1:8" x14ac:dyDescent="0.25">
      <c r="A591" t="s">
        <v>62</v>
      </c>
      <c r="B591">
        <v>20</v>
      </c>
      <c r="D591" t="s">
        <v>616</v>
      </c>
      <c r="E591">
        <v>0</v>
      </c>
      <c r="F591">
        <v>0</v>
      </c>
      <c r="G591">
        <v>0</v>
      </c>
      <c r="H591">
        <v>0</v>
      </c>
    </row>
    <row r="592" spans="1:8" x14ac:dyDescent="0.25">
      <c r="A592" t="s">
        <v>62</v>
      </c>
      <c r="B592">
        <v>20</v>
      </c>
      <c r="D592" t="s">
        <v>661</v>
      </c>
      <c r="E592">
        <v>0</v>
      </c>
      <c r="F592">
        <v>0</v>
      </c>
      <c r="G592">
        <v>0</v>
      </c>
      <c r="H592">
        <v>0</v>
      </c>
    </row>
    <row r="593" spans="1:8" x14ac:dyDescent="0.25">
      <c r="A593" t="s">
        <v>63</v>
      </c>
      <c r="B593">
        <v>20</v>
      </c>
      <c r="D593" t="s">
        <v>616</v>
      </c>
      <c r="E593">
        <v>0</v>
      </c>
      <c r="F593">
        <v>0</v>
      </c>
      <c r="G593">
        <v>0</v>
      </c>
      <c r="H593">
        <v>0</v>
      </c>
    </row>
    <row r="594" spans="1:8" x14ac:dyDescent="0.25">
      <c r="A594" t="s">
        <v>63</v>
      </c>
      <c r="B594">
        <v>20</v>
      </c>
      <c r="D594" t="s">
        <v>746</v>
      </c>
      <c r="E594">
        <v>0</v>
      </c>
      <c r="F594">
        <v>0</v>
      </c>
      <c r="G594">
        <v>0</v>
      </c>
      <c r="H594">
        <v>0</v>
      </c>
    </row>
    <row r="595" spans="1:8" x14ac:dyDescent="0.25">
      <c r="A595" t="s">
        <v>66</v>
      </c>
      <c r="B595">
        <v>20</v>
      </c>
      <c r="D595" t="s">
        <v>588</v>
      </c>
      <c r="E595">
        <v>0</v>
      </c>
      <c r="F595">
        <v>0</v>
      </c>
      <c r="G595">
        <v>0</v>
      </c>
      <c r="H595">
        <v>0</v>
      </c>
    </row>
    <row r="596" spans="1:8" x14ac:dyDescent="0.25">
      <c r="A596" t="s">
        <v>66</v>
      </c>
      <c r="B596">
        <v>20</v>
      </c>
      <c r="D596" t="s">
        <v>736</v>
      </c>
      <c r="E596">
        <v>0</v>
      </c>
      <c r="F596">
        <v>0</v>
      </c>
      <c r="G596">
        <v>0</v>
      </c>
      <c r="H596"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Search Engine Result</vt:lpstr>
      <vt:lpstr>Search Result Stats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MS Robotics 1</cp:lastModifiedBy>
  <dcterms:created xsi:type="dcterms:W3CDTF">2024-11-17T18:18:51Z</dcterms:created>
  <dcterms:modified xsi:type="dcterms:W3CDTF">2024-11-19T14:12:28Z</dcterms:modified>
</cp:coreProperties>
</file>